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9320" windowHeight="11640" tabRatio="813" activeTab="1"/>
  </bookViews>
  <sheets>
    <sheet name="Residence Halls" sheetId="1" r:id="rId1"/>
    <sheet name="Wellness Facility" sheetId="2" r:id="rId2"/>
  </sheets>
  <definedNames>
    <definedName name="_xlnm.Print_Area" localSheetId="0">'Residence Halls'!$A$1:$L$63</definedName>
    <definedName name="_xlnm.Print_Area" localSheetId="1">'Wellness Facility'!$A$1:$O$64</definedName>
  </definedNames>
  <calcPr fullCalcOnLoad="1"/>
</workbook>
</file>

<file path=xl/comments1.xml><?xml version="1.0" encoding="utf-8"?>
<comments xmlns="http://schemas.openxmlformats.org/spreadsheetml/2006/main">
  <authors>
    <author>Sheri Schimmel</author>
  </authors>
  <commentList>
    <comment ref="D6" authorId="0">
      <text>
        <r>
          <rPr>
            <sz val="9"/>
            <rFont val="Calibri"/>
            <family val="2"/>
          </rPr>
          <t>Depending on the Residence Halls' program, what is the FF&amp;E?</t>
        </r>
      </text>
    </comment>
  </commentList>
</comments>
</file>

<file path=xl/comments2.xml><?xml version="1.0" encoding="utf-8"?>
<comments xmlns="http://schemas.openxmlformats.org/spreadsheetml/2006/main">
  <authors>
    <author>Sheri Schimmel</author>
    <author>Jeffrey Schimmel</author>
  </authors>
  <commentList>
    <comment ref="D11" authorId="0">
      <text>
        <r>
          <rPr>
            <sz val="9"/>
            <rFont val="Calibri"/>
            <family val="2"/>
          </rPr>
          <t>What amount of funds will be raised?  [enter as negative #]</t>
        </r>
      </text>
    </comment>
    <comment ref="D6" authorId="0">
      <text>
        <r>
          <rPr>
            <sz val="9"/>
            <rFont val="Calibri"/>
            <family val="2"/>
          </rPr>
          <t>Depending on the Wellness Facility program, what is the FF&amp;E? [exclude FF&amp;E associated with PECO elements of the Program]</t>
        </r>
      </text>
    </comment>
    <comment ref="J20" authorId="0">
      <text>
        <r>
          <rPr>
            <b/>
            <sz val="9"/>
            <rFont val="Calibri"/>
            <family val="2"/>
          </rPr>
          <t>What % of the Total Building Size will the above Program consist of?</t>
        </r>
      </text>
    </comment>
    <comment ref="I4" authorId="1">
      <text>
        <r>
          <rPr>
            <sz val="9"/>
            <rFont val="Calibri"/>
            <family val="2"/>
          </rPr>
          <t>Select Program Element from drop-down list.</t>
        </r>
      </text>
    </comment>
    <comment ref="I5" authorId="1">
      <text>
        <r>
          <rPr>
            <sz val="9"/>
            <rFont val="Calibri"/>
            <family val="2"/>
          </rPr>
          <t>Select Program Element from drop-down list.</t>
        </r>
      </text>
    </comment>
    <comment ref="I6" authorId="1">
      <text>
        <r>
          <rPr>
            <sz val="9"/>
            <rFont val="Calibri"/>
            <family val="2"/>
          </rPr>
          <t>Select Program Element from drop-down list.</t>
        </r>
      </text>
    </comment>
    <comment ref="I7" authorId="1">
      <text>
        <r>
          <rPr>
            <sz val="9"/>
            <rFont val="Calibri"/>
            <family val="2"/>
          </rPr>
          <t>Select Program Element from drop-down list.</t>
        </r>
      </text>
    </comment>
    <comment ref="I8" authorId="1">
      <text>
        <r>
          <rPr>
            <sz val="9"/>
            <rFont val="Calibri"/>
            <family val="2"/>
          </rPr>
          <t>Select Program Element from drop-down list.</t>
        </r>
      </text>
    </comment>
    <comment ref="I9" authorId="1">
      <text>
        <r>
          <rPr>
            <sz val="9"/>
            <rFont val="Calibri"/>
            <family val="2"/>
          </rPr>
          <t>Select Program Element from drop-down list.</t>
        </r>
      </text>
    </comment>
    <comment ref="I12" authorId="1">
      <text>
        <r>
          <rPr>
            <sz val="9"/>
            <rFont val="Calibri"/>
            <family val="2"/>
          </rPr>
          <t>Select Program Element from drop-down list.</t>
        </r>
      </text>
    </comment>
    <comment ref="I11" authorId="1">
      <text>
        <r>
          <rPr>
            <sz val="9"/>
            <rFont val="Calibri"/>
            <family val="2"/>
          </rPr>
          <t>Select Program Element from drop-down list.</t>
        </r>
      </text>
    </comment>
    <comment ref="I10" authorId="1">
      <text>
        <r>
          <rPr>
            <sz val="9"/>
            <rFont val="Calibri"/>
            <family val="2"/>
          </rPr>
          <t>Select Program Element from drop-down list.</t>
        </r>
      </text>
    </comment>
    <comment ref="I13" authorId="1">
      <text>
        <r>
          <rPr>
            <sz val="9"/>
            <rFont val="Calibri"/>
            <family val="2"/>
          </rPr>
          <t>Select Program Element from drop-down list.</t>
        </r>
      </text>
    </comment>
    <comment ref="I14" authorId="1">
      <text>
        <r>
          <rPr>
            <sz val="9"/>
            <rFont val="Calibri"/>
            <family val="2"/>
          </rPr>
          <t>Select Program Element from drop-down list.</t>
        </r>
      </text>
    </comment>
    <comment ref="I15" authorId="1">
      <text>
        <r>
          <rPr>
            <sz val="9"/>
            <rFont val="Calibri"/>
            <family val="2"/>
          </rPr>
          <t>Select Program Element from drop-down list.</t>
        </r>
      </text>
    </comment>
    <comment ref="I16" authorId="1">
      <text>
        <r>
          <rPr>
            <sz val="9"/>
            <rFont val="Calibri"/>
            <family val="2"/>
          </rPr>
          <t>Select Program Element from drop-down list.</t>
        </r>
      </text>
    </comment>
    <comment ref="I17" authorId="1">
      <text>
        <r>
          <rPr>
            <sz val="9"/>
            <rFont val="Calibri"/>
            <family val="2"/>
          </rPr>
          <t>Select Program Element from drop-down list.</t>
        </r>
      </text>
    </comment>
    <comment ref="I18" authorId="1">
      <text>
        <r>
          <rPr>
            <sz val="9"/>
            <rFont val="Calibri"/>
            <family val="2"/>
          </rPr>
          <t>Select Program Element from drop-down list.</t>
        </r>
      </text>
    </comment>
  </commentList>
</comments>
</file>

<file path=xl/sharedStrings.xml><?xml version="1.0" encoding="utf-8"?>
<sst xmlns="http://schemas.openxmlformats.org/spreadsheetml/2006/main" count="169" uniqueCount="95">
  <si>
    <t>Support Space</t>
  </si>
  <si>
    <t>Program</t>
  </si>
  <si>
    <t>SqFt</t>
  </si>
  <si>
    <t>Food Preparation</t>
  </si>
  <si>
    <t>Mantra / PECO</t>
  </si>
  <si>
    <t>Paid for by</t>
  </si>
  <si>
    <t>Hard Costs / SqFt</t>
  </si>
  <si>
    <t>Rehab Revenue</t>
  </si>
  <si>
    <t>ACADEMIC &amp; STUDENT SUPPORT</t>
  </si>
  <si>
    <t>Lease/Bond Payment Rate</t>
  </si>
  <si>
    <t>Lease/Bond Payment</t>
  </si>
  <si>
    <t>Less:   PECO Funds</t>
  </si>
  <si>
    <t>Less: Raised Funds &amp; Match</t>
  </si>
  <si>
    <t>Private/Bond</t>
  </si>
  <si>
    <t>ADD'L REVENUE CATEGORIES:</t>
  </si>
  <si>
    <t>STAFF AND FACULTY FEES</t>
  </si>
  <si>
    <t>PUBLIC/COMMUNITY MEMBERSHIPS</t>
  </si>
  <si>
    <t>Retail Revenue</t>
  </si>
  <si>
    <t>Total Cost</t>
  </si>
  <si>
    <t>Program SqFt</t>
  </si>
  <si>
    <t>Total Building Size</t>
  </si>
  <si>
    <t>Program % of Building Size</t>
  </si>
  <si>
    <t>CORPORATE SUBSCRIPTIONS</t>
  </si>
  <si>
    <t xml:space="preserve">SWIM MEETS </t>
  </si>
  <si>
    <t>SqFt</t>
  </si>
  <si>
    <t>LOBBY</t>
  </si>
  <si>
    <t/>
  </si>
  <si>
    <t>CAFÉ/SNACK BAR</t>
  </si>
  <si>
    <t>25 METER COMPETITION POOL</t>
  </si>
  <si>
    <t>2 LEISURE POOLS</t>
  </si>
  <si>
    <t>Mantra</t>
  </si>
  <si>
    <t>PECO</t>
  </si>
  <si>
    <t>WEIGHTS &amp; FITNESS AREA</t>
  </si>
  <si>
    <t>2 AEROBIC CLASSROOMS</t>
  </si>
  <si>
    <t>ADMINISTRATIVE SUITE</t>
  </si>
  <si>
    <t>BOOKSTORE</t>
  </si>
  <si>
    <t>FOOD SERVICE (300 SEATS)</t>
  </si>
  <si>
    <t>CONVENIENCE FOOD STORE</t>
  </si>
  <si>
    <t>RETAIL SHOPS</t>
  </si>
  <si>
    <t>REHAB SERVICES</t>
  </si>
  <si>
    <t>STUDENT SERVICES</t>
  </si>
  <si>
    <t>SqFt / Bed</t>
  </si>
  <si>
    <t>* SqFt / Bed includes common areas, commercial space, bathrooms, etc.</t>
  </si>
  <si>
    <t>RATH SENIOR CONNEXTIONS CENTER</t>
  </si>
  <si>
    <t>Lobby Restrooms</t>
  </si>
  <si>
    <t>Seating for 100 Spectators</t>
  </si>
  <si>
    <t>Pool Equipment Room</t>
  </si>
  <si>
    <t>Pool Supplies Storage</t>
  </si>
  <si>
    <t>Pool Office</t>
  </si>
  <si>
    <t>Weights &amp; Fitness Storage</t>
  </si>
  <si>
    <t>Aerobics Classroom Storage</t>
  </si>
  <si>
    <t>Men's Locker Room</t>
  </si>
  <si>
    <t>Women's Locker Room</t>
  </si>
  <si>
    <t>Wellness Facility Assumptions</t>
  </si>
  <si>
    <t>Residence Hall Assumptions</t>
  </si>
  <si>
    <t>Item</t>
  </si>
  <si>
    <t>$/Bed</t>
  </si>
  <si>
    <t>Total Cost</t>
  </si>
  <si>
    <t>Soft Costs</t>
  </si>
  <si>
    <t>Hard Costs</t>
  </si>
  <si>
    <t>FF&amp;E</t>
  </si>
  <si>
    <t>Financing Costs</t>
  </si>
  <si>
    <t>USFP Lease-Back Assumptions</t>
  </si>
  <si>
    <t>Rate</t>
  </si>
  <si>
    <t>Lease Payment Rate</t>
  </si>
  <si>
    <t>Annual Lease Rent Increases</t>
  </si>
  <si>
    <t>USFP Revenue Assumptions</t>
  </si>
  <si>
    <t>Rental Rate / Bed / Mo</t>
  </si>
  <si>
    <t>Annual Rent Increases</t>
  </si>
  <si>
    <t>Summer Occupancy</t>
  </si>
  <si>
    <t>Residence Hall Program and Hard Costs</t>
  </si>
  <si>
    <t>Hard Costs / SqFt</t>
  </si>
  <si>
    <t>Operating Expense / Bed / Yr</t>
  </si>
  <si>
    <t>Gross Revenue</t>
  </si>
  <si>
    <t>Total Costs</t>
  </si>
  <si>
    <t>Profit / Loss</t>
  </si>
  <si>
    <t>Net Cash Flow</t>
  </si>
  <si>
    <t xml:space="preserve">Total Cost </t>
  </si>
  <si>
    <t>Student Fee / Credit Hour</t>
  </si>
  <si>
    <t>Student Population</t>
  </si>
  <si>
    <t>Annual Population Increases</t>
  </si>
  <si>
    <t>CPI</t>
  </si>
  <si>
    <t>School Year End</t>
  </si>
  <si>
    <t>2010 Development Costs</t>
  </si>
  <si>
    <t>Lease Payment</t>
  </si>
  <si>
    <t>Operating Costs</t>
  </si>
  <si>
    <t>$/SqFt</t>
  </si>
  <si>
    <t>Operating Expense / SqFt / Yr</t>
  </si>
  <si>
    <t>Food Service Revenue</t>
  </si>
  <si>
    <t>Net Cost</t>
  </si>
  <si>
    <t>Beds</t>
  </si>
  <si>
    <t>School Year End</t>
  </si>
  <si>
    <t>Contingency</t>
  </si>
  <si>
    <t>Wellness Facility Program and Hard Costs</t>
  </si>
  <si>
    <t>PRIMARY PROGRAM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</si>
</sst>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&quot;$&quot;#,##0"/>
    <numFmt numFmtId="167" formatCode="#,###\ &quot;SqFt&quot;"/>
    <numFmt numFmtId="168" formatCode="#,###"/>
  </numFmts>
  <fonts count="42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Verdana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9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61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8"/>
      <color indexed="55"/>
      <name val="Futura Medium BT"/>
      <family val="0"/>
    </font>
    <font>
      <i/>
      <sz val="6"/>
      <color indexed="21"/>
      <name val="Futura Medium BT"/>
      <family val="0"/>
    </font>
    <font>
      <sz val="10"/>
      <color indexed="44"/>
      <name val="Helvetica Neue"/>
      <family val="0"/>
    </font>
    <font>
      <sz val="8"/>
      <color indexed="44"/>
      <name val="Helvetica Neu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ck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ck"/>
      <top style="thin"/>
      <bottom/>
    </border>
    <border>
      <left style="thin"/>
      <right/>
      <top/>
      <bottom/>
    </border>
    <border>
      <left>
        <color indexed="63"/>
      </left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ck"/>
      <right style="thin"/>
      <top style="thin"/>
      <bottom style="thin"/>
    </border>
    <border>
      <left style="thick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13" fillId="23" borderId="0" applyNumberFormat="0" applyBorder="0" applyAlignment="0" applyProtection="0"/>
    <xf numFmtId="0" fontId="31" fillId="24" borderId="1" applyNumberFormat="0" applyAlignment="0" applyProtection="0"/>
    <xf numFmtId="0" fontId="32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27" borderId="1" applyNumberFormat="0" applyAlignment="0" applyProtection="0"/>
    <xf numFmtId="0" fontId="36" fillId="0" borderId="6" applyNumberFormat="0" applyFill="0" applyAlignment="0" applyProtection="0"/>
    <xf numFmtId="0" fontId="37" fillId="28" borderId="0" applyNumberFormat="0" applyBorder="0" applyAlignment="0" applyProtection="0"/>
    <xf numFmtId="0" fontId="0" fillId="29" borderId="7" applyNumberFormat="0" applyFont="0" applyAlignment="0" applyProtection="0"/>
    <xf numFmtId="0" fontId="38" fillId="24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164" fontId="0" fillId="0" borderId="0" xfId="44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0" fillId="0" borderId="13" xfId="0" applyFont="1" applyFill="1" applyBorder="1" applyAlignment="1">
      <alignment/>
    </xf>
    <xf numFmtId="0" fontId="1" fillId="0" borderId="14" xfId="0" applyFont="1" applyBorder="1" applyAlignment="1">
      <alignment horizontal="center"/>
    </xf>
    <xf numFmtId="0" fontId="0" fillId="0" borderId="13" xfId="0" applyFill="1" applyBorder="1" applyAlignment="1">
      <alignment/>
    </xf>
    <xf numFmtId="0" fontId="1" fillId="0" borderId="13" xfId="0" applyFont="1" applyBorder="1" applyAlignment="1">
      <alignment horizontal="center"/>
    </xf>
    <xf numFmtId="0" fontId="2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15" xfId="0" applyBorder="1" applyAlignment="1">
      <alignment/>
    </xf>
    <xf numFmtId="10" fontId="0" fillId="0" borderId="15" xfId="59" applyNumberFormat="1" applyFont="1" applyBorder="1" applyAlignment="1">
      <alignment/>
    </xf>
    <xf numFmtId="164" fontId="0" fillId="0" borderId="0" xfId="44" applyNumberFormat="1" applyFont="1" applyAlignment="1">
      <alignment/>
    </xf>
    <xf numFmtId="10" fontId="2" fillId="0" borderId="0" xfId="59" applyNumberFormat="1" applyFont="1" applyBorder="1" applyAlignment="1">
      <alignment/>
    </xf>
    <xf numFmtId="0" fontId="0" fillId="0" borderId="0" xfId="0" applyFill="1" applyAlignment="1">
      <alignment/>
    </xf>
    <xf numFmtId="0" fontId="0" fillId="0" borderId="12" xfId="0" applyBorder="1" applyAlignment="1">
      <alignment/>
    </xf>
    <xf numFmtId="164" fontId="2" fillId="0" borderId="0" xfId="44" applyNumberFormat="1" applyFont="1" applyAlignment="1">
      <alignment/>
    </xf>
    <xf numFmtId="164" fontId="2" fillId="0" borderId="0" xfId="0" applyNumberFormat="1" applyFont="1" applyAlignment="1">
      <alignment/>
    </xf>
    <xf numFmtId="0" fontId="4" fillId="0" borderId="0" xfId="0" applyFont="1" applyAlignment="1">
      <alignment/>
    </xf>
    <xf numFmtId="10" fontId="4" fillId="0" borderId="0" xfId="59" applyNumberFormat="1" applyFont="1" applyBorder="1" applyAlignment="1">
      <alignment/>
    </xf>
    <xf numFmtId="0" fontId="4" fillId="0" borderId="0" xfId="0" applyFont="1" applyBorder="1" applyAlignment="1">
      <alignment/>
    </xf>
    <xf numFmtId="43" fontId="4" fillId="0" borderId="0" xfId="0" applyNumberFormat="1" applyFont="1" applyAlignment="1">
      <alignment/>
    </xf>
    <xf numFmtId="0" fontId="5" fillId="0" borderId="0" xfId="0" applyFont="1" applyFill="1" applyBorder="1" applyAlignment="1">
      <alignment horizontal="center" wrapText="1"/>
    </xf>
    <xf numFmtId="164" fontId="4" fillId="0" borderId="0" xfId="44" applyNumberFormat="1" applyFont="1" applyAlignment="1">
      <alignment/>
    </xf>
    <xf numFmtId="0" fontId="6" fillId="0" borderId="0" xfId="0" applyFont="1" applyFill="1" applyBorder="1" applyAlignment="1">
      <alignment horizontal="center" wrapText="1"/>
    </xf>
    <xf numFmtId="0" fontId="5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164" fontId="0" fillId="0" borderId="16" xfId="44" applyNumberFormat="1" applyFont="1" applyBorder="1" applyAlignment="1">
      <alignment/>
    </xf>
    <xf numFmtId="0" fontId="0" fillId="0" borderId="11" xfId="0" applyBorder="1" applyAlignment="1">
      <alignment/>
    </xf>
    <xf numFmtId="0" fontId="1" fillId="0" borderId="17" xfId="0" applyFont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5" xfId="0" applyBorder="1" applyAlignment="1">
      <alignment horizontal="center"/>
    </xf>
    <xf numFmtId="0" fontId="1" fillId="0" borderId="18" xfId="0" applyFont="1" applyBorder="1" applyAlignment="1">
      <alignment/>
    </xf>
    <xf numFmtId="44" fontId="0" fillId="0" borderId="15" xfId="44" applyNumberFormat="1" applyFont="1" applyBorder="1" applyAlignment="1">
      <alignment/>
    </xf>
    <xf numFmtId="165" fontId="0" fillId="0" borderId="15" xfId="42" applyNumberFormat="1" applyFont="1" applyBorder="1" applyAlignment="1">
      <alignment/>
    </xf>
    <xf numFmtId="0" fontId="0" fillId="0" borderId="13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0" xfId="0" applyBorder="1" applyAlignment="1">
      <alignment horizontal="right"/>
    </xf>
    <xf numFmtId="0" fontId="1" fillId="0" borderId="0" xfId="0" applyFont="1" applyAlignment="1">
      <alignment/>
    </xf>
    <xf numFmtId="165" fontId="0" fillId="0" borderId="0" xfId="42" applyNumberFormat="1" applyFont="1" applyFill="1" applyBorder="1" applyAlignment="1">
      <alignment/>
    </xf>
    <xf numFmtId="165" fontId="4" fillId="0" borderId="0" xfId="42" applyNumberFormat="1" applyFont="1" applyBorder="1" applyAlignment="1">
      <alignment/>
    </xf>
    <xf numFmtId="165" fontId="4" fillId="0" borderId="0" xfId="42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 quotePrefix="1">
      <alignment/>
    </xf>
    <xf numFmtId="165" fontId="0" fillId="0" borderId="0" xfId="0" applyNumberFormat="1" applyAlignment="1">
      <alignment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left"/>
    </xf>
    <xf numFmtId="165" fontId="0" fillId="0" borderId="0" xfId="0" applyNumberFormat="1" applyBorder="1" applyAlignment="1">
      <alignment/>
    </xf>
    <xf numFmtId="10" fontId="0" fillId="0" borderId="0" xfId="59" applyNumberFormat="1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20" xfId="0" applyBorder="1" applyAlignment="1">
      <alignment horizontal="right"/>
    </xf>
    <xf numFmtId="0" fontId="0" fillId="0" borderId="21" xfId="0" applyBorder="1" applyAlignment="1">
      <alignment/>
    </xf>
    <xf numFmtId="0" fontId="4" fillId="0" borderId="0" xfId="0" applyFont="1" applyAlignment="1">
      <alignment horizontal="right"/>
    </xf>
    <xf numFmtId="0" fontId="5" fillId="0" borderId="1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5" fillId="0" borderId="10" xfId="0" applyFont="1" applyFill="1" applyBorder="1" applyAlignment="1">
      <alignment horizontal="center"/>
    </xf>
    <xf numFmtId="0" fontId="4" fillId="0" borderId="21" xfId="0" applyFont="1" applyBorder="1" applyAlignment="1">
      <alignment/>
    </xf>
    <xf numFmtId="164" fontId="4" fillId="0" borderId="0" xfId="0" applyNumberFormat="1" applyFont="1" applyAlignment="1">
      <alignment/>
    </xf>
    <xf numFmtId="0" fontId="1" fillId="0" borderId="0" xfId="0" applyFont="1" applyAlignment="1" quotePrefix="1">
      <alignment/>
    </xf>
    <xf numFmtId="0" fontId="9" fillId="0" borderId="0" xfId="0" applyFont="1" applyAlignment="1">
      <alignment horizontal="center"/>
    </xf>
    <xf numFmtId="0" fontId="0" fillId="0" borderId="18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12" xfId="0" applyBorder="1" applyAlignment="1">
      <alignment horizontal="left"/>
    </xf>
    <xf numFmtId="0" fontId="0" fillId="0" borderId="19" xfId="0" applyBorder="1" applyAlignment="1">
      <alignment/>
    </xf>
    <xf numFmtId="167" fontId="0" fillId="0" borderId="15" xfId="42" applyNumberFormat="1" applyFont="1" applyBorder="1" applyAlignment="1">
      <alignment horizontal="center"/>
    </xf>
    <xf numFmtId="168" fontId="0" fillId="0" borderId="15" xfId="42" applyNumberFormat="1" applyFont="1" applyBorder="1" applyAlignment="1">
      <alignment horizontal="center"/>
    </xf>
    <xf numFmtId="164" fontId="0" fillId="30" borderId="16" xfId="44" applyNumberFormat="1" applyFont="1" applyFill="1" applyBorder="1" applyAlignment="1">
      <alignment/>
    </xf>
    <xf numFmtId="164" fontId="0" fillId="0" borderId="15" xfId="44" applyNumberFormat="1" applyFont="1" applyBorder="1" applyAlignment="1">
      <alignment/>
    </xf>
    <xf numFmtId="0" fontId="0" fillId="0" borderId="10" xfId="0" applyBorder="1" applyAlignment="1">
      <alignment/>
    </xf>
    <xf numFmtId="10" fontId="0" fillId="30" borderId="15" xfId="59" applyNumberFormat="1" applyFont="1" applyFill="1" applyBorder="1" applyAlignment="1">
      <alignment horizontal="center"/>
    </xf>
    <xf numFmtId="10" fontId="0" fillId="0" borderId="15" xfId="59" applyNumberFormat="1" applyFont="1" applyBorder="1" applyAlignment="1">
      <alignment/>
    </xf>
    <xf numFmtId="0" fontId="0" fillId="0" borderId="15" xfId="0" applyBorder="1" applyAlignment="1">
      <alignment horizontal="right"/>
    </xf>
    <xf numFmtId="0" fontId="10" fillId="0" borderId="0" xfId="0" applyFont="1" applyAlignment="1">
      <alignment/>
    </xf>
    <xf numFmtId="0" fontId="5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30" borderId="1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164" fontId="0" fillId="0" borderId="16" xfId="44" applyNumberFormat="1" applyFont="1" applyBorder="1" applyAlignment="1">
      <alignment/>
    </xf>
    <xf numFmtId="164" fontId="0" fillId="0" borderId="14" xfId="44" applyNumberFormat="1" applyFont="1" applyBorder="1" applyAlignment="1">
      <alignment/>
    </xf>
    <xf numFmtId="10" fontId="9" fillId="0" borderId="0" xfId="59" applyNumberFormat="1" applyFont="1" applyBorder="1" applyAlignment="1">
      <alignment/>
    </xf>
    <xf numFmtId="0" fontId="2" fillId="0" borderId="0" xfId="0" applyFont="1" applyAlignment="1">
      <alignment/>
    </xf>
    <xf numFmtId="164" fontId="2" fillId="0" borderId="0" xfId="44" applyNumberFormat="1" applyFont="1" applyBorder="1" applyAlignment="1">
      <alignment/>
    </xf>
    <xf numFmtId="0" fontId="5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wrapText="1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165" fontId="0" fillId="0" borderId="23" xfId="42" applyNumberFormat="1" applyFont="1" applyFill="1" applyBorder="1" applyAlignment="1">
      <alignment/>
    </xf>
    <xf numFmtId="165" fontId="0" fillId="0" borderId="21" xfId="42" applyNumberFormat="1" applyFont="1" applyFill="1" applyBorder="1" applyAlignment="1">
      <alignment/>
    </xf>
    <xf numFmtId="165" fontId="0" fillId="0" borderId="21" xfId="42" applyNumberFormat="1" applyFont="1" applyBorder="1" applyAlignment="1">
      <alignment/>
    </xf>
    <xf numFmtId="0" fontId="4" fillId="0" borderId="20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164" fontId="0" fillId="0" borderId="25" xfId="44" applyNumberFormat="1" applyFont="1" applyBorder="1" applyAlignment="1">
      <alignment/>
    </xf>
    <xf numFmtId="164" fontId="0" fillId="0" borderId="26" xfId="44" applyNumberFormat="1" applyFont="1" applyBorder="1" applyAlignment="1">
      <alignment/>
    </xf>
    <xf numFmtId="164" fontId="0" fillId="0" borderId="27" xfId="44" applyNumberFormat="1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5" xfId="0" applyFont="1" applyBorder="1" applyAlignment="1">
      <alignment/>
    </xf>
    <xf numFmtId="164" fontId="4" fillId="0" borderId="26" xfId="0" applyNumberFormat="1" applyFont="1" applyBorder="1" applyAlignment="1">
      <alignment/>
    </xf>
    <xf numFmtId="164" fontId="4" fillId="0" borderId="27" xfId="0" applyNumberFormat="1" applyFont="1" applyBorder="1" applyAlignment="1">
      <alignment/>
    </xf>
    <xf numFmtId="5" fontId="4" fillId="0" borderId="11" xfId="44" applyNumberFormat="1" applyFont="1" applyFill="1" applyBorder="1" applyAlignment="1">
      <alignment horizontal="center"/>
    </xf>
    <xf numFmtId="44" fontId="0" fillId="0" borderId="15" xfId="44" applyFont="1" applyFill="1" applyBorder="1" applyAlignment="1">
      <alignment/>
    </xf>
    <xf numFmtId="165" fontId="0" fillId="0" borderId="15" xfId="42" applyNumberFormat="1" applyFont="1" applyFill="1" applyBorder="1" applyAlignment="1">
      <alignment/>
    </xf>
    <xf numFmtId="164" fontId="0" fillId="0" borderId="15" xfId="44" applyNumberFormat="1" applyFont="1" applyFill="1" applyBorder="1" applyAlignment="1">
      <alignment/>
    </xf>
    <xf numFmtId="10" fontId="0" fillId="0" borderId="10" xfId="59" applyNumberFormat="1" applyFont="1" applyFill="1" applyBorder="1" applyAlignment="1">
      <alignment/>
    </xf>
    <xf numFmtId="10" fontId="0" fillId="0" borderId="15" xfId="59" applyNumberFormat="1" applyFont="1" applyFill="1" applyBorder="1" applyAlignment="1">
      <alignment horizontal="center"/>
    </xf>
    <xf numFmtId="164" fontId="0" fillId="0" borderId="16" xfId="44" applyNumberFormat="1" applyFont="1" applyFill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2" xfId="0" applyBorder="1" applyAlignment="1">
      <alignment horizontal="right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166" fontId="4" fillId="30" borderId="29" xfId="0" applyNumberFormat="1" applyFont="1" applyFill="1" applyBorder="1" applyAlignment="1">
      <alignment horizontal="center"/>
    </xf>
    <xf numFmtId="166" fontId="4" fillId="30" borderId="25" xfId="0" applyNumberFormat="1" applyFont="1" applyFill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2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61</xdr:row>
      <xdr:rowOff>76200</xdr:rowOff>
    </xdr:from>
    <xdr:to>
      <xdr:col>1</xdr:col>
      <xdr:colOff>733425</xdr:colOff>
      <xdr:row>62</xdr:row>
      <xdr:rowOff>76200</xdr:rowOff>
    </xdr:to>
    <xdr:grpSp>
      <xdr:nvGrpSpPr>
        <xdr:cNvPr id="1" name="Group 1"/>
        <xdr:cNvGrpSpPr>
          <a:grpSpLocks/>
        </xdr:cNvGrpSpPr>
      </xdr:nvGrpSpPr>
      <xdr:grpSpPr>
        <a:xfrm>
          <a:off x="47625" y="12268200"/>
          <a:ext cx="1581150" cy="190500"/>
          <a:chOff x="2976" y="3792"/>
          <a:chExt cx="2241" cy="229"/>
        </a:xfrm>
        <a:solidFill>
          <a:srgbClr val="FFFFFF"/>
        </a:solidFill>
      </xdr:grpSpPr>
      <xdr:pic>
        <xdr:nvPicPr>
          <xdr:cNvPr id="2" name="Picture 8" descr="WPClogo_284-RGB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975" y="3795"/>
            <a:ext cx="1242" cy="20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 descr="Mantra Logo-tag"/>
          <xdr:cNvPicPr preferRelativeResize="1">
            <a:picLocks noChangeAspect="1"/>
          </xdr:cNvPicPr>
        </xdr:nvPicPr>
        <xdr:blipFill>
          <a:blip r:embed="rId2"/>
          <a:srcRect l="16537" r="16537" b="35375"/>
          <a:stretch>
            <a:fillRect/>
          </a:stretch>
        </xdr:blipFill>
        <xdr:spPr>
          <a:xfrm>
            <a:off x="2976" y="3792"/>
            <a:ext cx="879" cy="22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oneCellAnchor>
    <xdr:from>
      <xdr:col>6</xdr:col>
      <xdr:colOff>866775</xdr:colOff>
      <xdr:row>61</xdr:row>
      <xdr:rowOff>38100</xdr:rowOff>
    </xdr:from>
    <xdr:ext cx="3581400" cy="361950"/>
    <xdr:sp>
      <xdr:nvSpPr>
        <xdr:cNvPr id="4" name="Rectangle 4"/>
        <xdr:cNvSpPr>
          <a:spLocks/>
        </xdr:cNvSpPr>
      </xdr:nvSpPr>
      <xdr:spPr>
        <a:xfrm>
          <a:off x="6200775" y="12230100"/>
          <a:ext cx="35814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969696"/>
              </a:solidFill>
            </a:rPr>
            <a:t>Enabling Innovation in Higher Education.™ </a:t>
          </a:r>
          <a:r>
            <a:rPr lang="en-US" cap="none" sz="600" b="0" i="1" u="none" baseline="0">
              <a:solidFill>
                <a:srgbClr val="008080"/>
              </a:solidFill>
            </a:rPr>
            <a:t>while</a:t>
          </a:r>
          <a:r>
            <a:rPr lang="en-US" cap="none" sz="1000" b="0" i="0" u="none" baseline="0">
              <a:solidFill>
                <a:srgbClr val="99CCFF"/>
              </a:solidFill>
            </a:rPr>
            <a:t> </a:t>
          </a:r>
          <a:r>
            <a:rPr lang="en-US" cap="none" sz="800" b="0" i="0" u="none" baseline="0">
              <a:solidFill>
                <a:srgbClr val="99CCFF"/>
              </a:solidFill>
            </a:rPr>
            <a:t>Investing for the Long Run™</a:t>
          </a:r>
          <a:r>
            <a:rPr lang="en-US" cap="none" sz="1000" b="0" i="0" u="none" baseline="0">
              <a:solidFill>
                <a:srgbClr val="99CCFF"/>
              </a:solidFill>
            </a:rPr>
            <a:t>
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1409700</xdr:colOff>
      <xdr:row>63</xdr:row>
      <xdr:rowOff>38100</xdr:rowOff>
    </xdr:from>
    <xdr:ext cx="76200" cy="361950"/>
    <xdr:sp>
      <xdr:nvSpPr>
        <xdr:cNvPr id="1" name="Rectangle 4"/>
        <xdr:cNvSpPr>
          <a:spLocks/>
        </xdr:cNvSpPr>
      </xdr:nvSpPr>
      <xdr:spPr>
        <a:xfrm>
          <a:off x="8353425" y="12382500"/>
          <a:ext cx="76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99CCFF"/>
              </a:solidFill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2"/>
  <sheetViews>
    <sheetView zoomScaleSheetLayoutView="100" zoomScalePageLayoutView="150" workbookViewId="0" topLeftCell="A1">
      <selection activeCell="D8" sqref="D8"/>
    </sheetView>
  </sheetViews>
  <sheetFormatPr defaultColWidth="8.8515625" defaultRowHeight="15"/>
  <cols>
    <col min="1" max="4" width="13.421875" style="0" customWidth="1"/>
    <col min="5" max="5" width="12.8515625" style="0" customWidth="1"/>
    <col min="6" max="7" width="13.421875" style="0" customWidth="1"/>
    <col min="8" max="8" width="8.8515625" style="0" customWidth="1"/>
    <col min="9" max="10" width="8.8515625" style="22" customWidth="1"/>
    <col min="11" max="11" width="9.421875" style="22" customWidth="1"/>
    <col min="12" max="12" width="8.8515625" style="12" customWidth="1"/>
    <col min="13" max="13" width="14.140625" style="0" customWidth="1"/>
    <col min="14" max="14" width="24.140625" style="0" customWidth="1"/>
    <col min="15" max="15" width="16.28125" style="0" customWidth="1"/>
    <col min="16" max="16" width="13.421875" style="0" customWidth="1"/>
    <col min="17" max="34" width="8.8515625" style="0" customWidth="1"/>
    <col min="35" max="35" width="0.13671875" style="0" customWidth="1"/>
  </cols>
  <sheetData>
    <row r="1" spans="1:12" ht="15">
      <c r="A1" s="121" t="s">
        <v>54</v>
      </c>
      <c r="B1" s="122"/>
      <c r="C1" s="122"/>
      <c r="D1" s="122"/>
      <c r="E1" s="122"/>
      <c r="F1" s="122"/>
      <c r="G1" s="124"/>
      <c r="I1" s="127" t="s">
        <v>70</v>
      </c>
      <c r="J1" s="128"/>
      <c r="K1" s="128"/>
      <c r="L1" s="129"/>
    </row>
    <row r="2" spans="1:12" ht="15">
      <c r="A2" s="121" t="s">
        <v>83</v>
      </c>
      <c r="B2" s="122"/>
      <c r="C2" s="122"/>
      <c r="D2" s="123"/>
      <c r="E2" s="7" t="s">
        <v>62</v>
      </c>
      <c r="F2" s="7"/>
      <c r="G2" s="6" t="s">
        <v>63</v>
      </c>
      <c r="I2" s="83" t="s">
        <v>90</v>
      </c>
      <c r="J2" s="62" t="s">
        <v>41</v>
      </c>
      <c r="K2" s="130" t="s">
        <v>71</v>
      </c>
      <c r="L2" s="131"/>
    </row>
    <row r="3" spans="1:12" ht="15">
      <c r="A3" s="4" t="s">
        <v>55</v>
      </c>
      <c r="B3" s="5"/>
      <c r="C3" s="5" t="s">
        <v>56</v>
      </c>
      <c r="D3" s="9" t="s">
        <v>57</v>
      </c>
      <c r="E3" s="32" t="s">
        <v>64</v>
      </c>
      <c r="F3" s="19"/>
      <c r="G3" s="80">
        <v>0.09</v>
      </c>
      <c r="I3" s="84">
        <v>240</v>
      </c>
      <c r="J3" s="85">
        <v>346</v>
      </c>
      <c r="K3" s="132">
        <v>165</v>
      </c>
      <c r="L3" s="133"/>
    </row>
    <row r="4" spans="1:11" ht="15">
      <c r="A4" s="14" t="s">
        <v>58</v>
      </c>
      <c r="B4" s="79">
        <v>0.1</v>
      </c>
      <c r="C4" s="77">
        <f>IF($D$5&gt;0,D4/$I$3,"")</f>
        <v>5709</v>
      </c>
      <c r="D4" s="31">
        <f>D5*B4</f>
        <v>1370160</v>
      </c>
      <c r="E4" s="32" t="s">
        <v>65</v>
      </c>
      <c r="F4" s="19"/>
      <c r="G4" s="81" t="s">
        <v>81</v>
      </c>
      <c r="H4" s="17">
        <v>0.03</v>
      </c>
      <c r="I4" s="90" t="s">
        <v>42</v>
      </c>
      <c r="J4" s="23"/>
      <c r="K4" s="24"/>
    </row>
    <row r="5" spans="1:11" ht="15">
      <c r="A5" s="14" t="s">
        <v>59</v>
      </c>
      <c r="B5" s="74">
        <f>I3*J3</f>
        <v>83040</v>
      </c>
      <c r="C5" s="77">
        <f>IF($D$5&gt;0,D5/$I$3,"")</f>
        <v>57090</v>
      </c>
      <c r="D5" s="88">
        <f>B5*K3</f>
        <v>13701600</v>
      </c>
      <c r="E5" s="7" t="s">
        <v>66</v>
      </c>
      <c r="F5" s="7"/>
      <c r="G5" s="6" t="s">
        <v>63</v>
      </c>
      <c r="H5" s="86"/>
      <c r="K5" s="25"/>
    </row>
    <row r="6" spans="1:8" ht="15">
      <c r="A6" s="14" t="s">
        <v>60</v>
      </c>
      <c r="B6" s="14"/>
      <c r="C6" s="77">
        <f>IF($D$5&gt;0,D6/$I$3,"")</f>
        <v>2708.3333333333335</v>
      </c>
      <c r="D6" s="76">
        <v>650000</v>
      </c>
      <c r="E6" s="34" t="s">
        <v>67</v>
      </c>
      <c r="F6" s="34"/>
      <c r="G6" s="77">
        <f>I12</f>
        <v>775.0461458333333</v>
      </c>
      <c r="H6" s="87"/>
    </row>
    <row r="7" spans="1:9" ht="15">
      <c r="A7" s="14" t="s">
        <v>92</v>
      </c>
      <c r="B7" s="79">
        <v>0.05</v>
      </c>
      <c r="C7" s="77">
        <f>IF($D$5&gt;0,D7/$I$3,"")</f>
        <v>3275.366666666667</v>
      </c>
      <c r="D7" s="88">
        <f>B7*(SUM(D4:D6))</f>
        <v>786088</v>
      </c>
      <c r="E7" s="34" t="s">
        <v>69</v>
      </c>
      <c r="F7" s="34"/>
      <c r="G7" s="80">
        <v>0.2</v>
      </c>
      <c r="I7" s="82"/>
    </row>
    <row r="8" spans="1:9" ht="15">
      <c r="A8" s="14" t="s">
        <v>61</v>
      </c>
      <c r="B8" s="14"/>
      <c r="C8" s="77">
        <f>IF($D$5&gt;0,D8/$I$3,"")</f>
        <v>0</v>
      </c>
      <c r="D8" s="88">
        <v>0</v>
      </c>
      <c r="E8" s="35" t="s">
        <v>68</v>
      </c>
      <c r="F8" s="35"/>
      <c r="G8" s="80">
        <v>0.05</v>
      </c>
      <c r="I8" s="12"/>
    </row>
    <row r="9" spans="1:13" ht="15">
      <c r="A9" s="125" t="s">
        <v>77</v>
      </c>
      <c r="B9" s="126"/>
      <c r="C9" s="78"/>
      <c r="D9" s="89">
        <f>SUM(D4:D8)</f>
        <v>16507848</v>
      </c>
      <c r="E9" s="10" t="s">
        <v>72</v>
      </c>
      <c r="F9" s="8"/>
      <c r="G9" s="77">
        <v>1250</v>
      </c>
      <c r="I9" s="12"/>
      <c r="M9" s="18"/>
    </row>
    <row r="10" spans="4:9" ht="15">
      <c r="D10" s="25"/>
      <c r="E10" s="13"/>
      <c r="I10" s="12"/>
    </row>
    <row r="11" spans="1:10" ht="60">
      <c r="A11" s="30" t="s">
        <v>82</v>
      </c>
      <c r="B11" s="11" t="s">
        <v>73</v>
      </c>
      <c r="C11" s="11" t="s">
        <v>84</v>
      </c>
      <c r="D11" s="11" t="s">
        <v>85</v>
      </c>
      <c r="E11" s="11" t="s">
        <v>74</v>
      </c>
      <c r="F11" s="11" t="s">
        <v>75</v>
      </c>
      <c r="G11" s="11" t="s">
        <v>76</v>
      </c>
      <c r="I11" s="28" t="s">
        <v>67</v>
      </c>
      <c r="J11" s="26"/>
    </row>
    <row r="12" spans="1:13" ht="15">
      <c r="A12" s="2">
        <v>2013</v>
      </c>
      <c r="B12" s="1">
        <f>(I3*G6*9)+(I3*G6*3*G7)</f>
        <v>1785706.3199999998</v>
      </c>
      <c r="C12" s="1">
        <f>D9*G3</f>
        <v>1485706.3199999998</v>
      </c>
      <c r="D12" s="1">
        <f>I3*G9</f>
        <v>300000</v>
      </c>
      <c r="E12" s="1">
        <f>C12+D12</f>
        <v>1785706.3199999998</v>
      </c>
      <c r="F12" s="1">
        <f>B12-E12</f>
        <v>0</v>
      </c>
      <c r="G12" s="1">
        <f>F12</f>
        <v>0</v>
      </c>
      <c r="I12" s="20">
        <f>(C12+D12)/(($I$3*9)+($I$3*3*$G$7))</f>
        <v>775.0461458333333</v>
      </c>
      <c r="J12" s="27"/>
      <c r="L12" s="21"/>
      <c r="M12" s="13"/>
    </row>
    <row r="13" spans="1:12" ht="15">
      <c r="A13" s="2">
        <v>2014</v>
      </c>
      <c r="B13" s="1">
        <f>B12*(1+$G$8)</f>
        <v>1874991.636</v>
      </c>
      <c r="C13" s="1">
        <f aca="true" t="shared" si="0" ref="C13:C44">C12*(1+$H$4)</f>
        <v>1530277.5095999998</v>
      </c>
      <c r="D13" s="1">
        <f aca="true" t="shared" si="1" ref="D13:D44">D12*(1+$H$4)</f>
        <v>309000</v>
      </c>
      <c r="E13" s="1">
        <f>C13+D13</f>
        <v>1839277.5095999998</v>
      </c>
      <c r="F13" s="1">
        <f>B13-E13</f>
        <v>35714.12640000018</v>
      </c>
      <c r="G13" s="1">
        <f>F13</f>
        <v>35714.12640000018</v>
      </c>
      <c r="I13" s="12"/>
      <c r="K13" s="20"/>
      <c r="L13" s="21"/>
    </row>
    <row r="14" spans="1:12" ht="15">
      <c r="A14" s="2">
        <v>2015</v>
      </c>
      <c r="B14" s="1">
        <f aca="true" t="shared" si="2" ref="B14:B61">B13*(1+$G$8)</f>
        <v>1968741.2178</v>
      </c>
      <c r="C14" s="1">
        <f t="shared" si="0"/>
        <v>1576185.8348879998</v>
      </c>
      <c r="D14" s="1">
        <f t="shared" si="1"/>
        <v>318270</v>
      </c>
      <c r="E14" s="1">
        <f aca="true" t="shared" si="3" ref="E14:E61">C14+D14</f>
        <v>1894455.8348879998</v>
      </c>
      <c r="F14" s="1">
        <f aca="true" t="shared" si="4" ref="F14:F61">B14-E14</f>
        <v>74285.38291200018</v>
      </c>
      <c r="G14" s="1">
        <f aca="true" t="shared" si="5" ref="G14:G61">F14</f>
        <v>74285.38291200018</v>
      </c>
      <c r="I14" s="12"/>
      <c r="K14" s="20"/>
      <c r="L14" s="21"/>
    </row>
    <row r="15" spans="1:12" ht="15">
      <c r="A15" s="2">
        <v>2016</v>
      </c>
      <c r="B15" s="1">
        <f t="shared" si="2"/>
        <v>2067178.27869</v>
      </c>
      <c r="C15" s="1">
        <f t="shared" si="0"/>
        <v>1623471.40993464</v>
      </c>
      <c r="D15" s="1">
        <f t="shared" si="1"/>
        <v>327818.10000000003</v>
      </c>
      <c r="E15" s="1">
        <f t="shared" si="3"/>
        <v>1951289.50993464</v>
      </c>
      <c r="F15" s="1">
        <f t="shared" si="4"/>
        <v>115888.76875536004</v>
      </c>
      <c r="G15" s="1">
        <f t="shared" si="5"/>
        <v>115888.76875536004</v>
      </c>
      <c r="I15" s="12"/>
      <c r="K15" s="20"/>
      <c r="L15" s="21"/>
    </row>
    <row r="16" spans="1:12" ht="15">
      <c r="A16" s="2">
        <v>2017</v>
      </c>
      <c r="B16" s="1">
        <f t="shared" si="2"/>
        <v>2170537.1926245</v>
      </c>
      <c r="C16" s="1">
        <f t="shared" si="0"/>
        <v>1672175.5522326792</v>
      </c>
      <c r="D16" s="1">
        <f t="shared" si="1"/>
        <v>337652.64300000004</v>
      </c>
      <c r="E16" s="1">
        <f t="shared" si="3"/>
        <v>2009828.1952326791</v>
      </c>
      <c r="F16" s="1">
        <f t="shared" si="4"/>
        <v>160708.99739182089</v>
      </c>
      <c r="G16" s="1">
        <f t="shared" si="5"/>
        <v>160708.99739182089</v>
      </c>
      <c r="I16" s="12"/>
      <c r="K16" s="20"/>
      <c r="L16" s="21"/>
    </row>
    <row r="17" spans="1:12" ht="15">
      <c r="A17" s="2">
        <v>2018</v>
      </c>
      <c r="B17" s="1">
        <f t="shared" si="2"/>
        <v>2279064.052255725</v>
      </c>
      <c r="C17" s="1">
        <f t="shared" si="0"/>
        <v>1722340.8187996596</v>
      </c>
      <c r="D17" s="1">
        <f t="shared" si="1"/>
        <v>347782.22229000006</v>
      </c>
      <c r="E17" s="1">
        <f t="shared" si="3"/>
        <v>2070123.0410896596</v>
      </c>
      <c r="F17" s="1">
        <f t="shared" si="4"/>
        <v>208941.01116606547</v>
      </c>
      <c r="G17" s="1">
        <f t="shared" si="5"/>
        <v>208941.01116606547</v>
      </c>
      <c r="I17" s="12"/>
      <c r="K17" s="20"/>
      <c r="L17" s="21"/>
    </row>
    <row r="18" spans="1:12" ht="15">
      <c r="A18" s="2">
        <v>2019</v>
      </c>
      <c r="B18" s="1">
        <f t="shared" si="2"/>
        <v>2393017.2548685116</v>
      </c>
      <c r="C18" s="1">
        <f t="shared" si="0"/>
        <v>1774011.0433636494</v>
      </c>
      <c r="D18" s="1">
        <f t="shared" si="1"/>
        <v>358215.68895870005</v>
      </c>
      <c r="E18" s="1">
        <f t="shared" si="3"/>
        <v>2132226.732322349</v>
      </c>
      <c r="F18" s="1">
        <f t="shared" si="4"/>
        <v>260790.52254616236</v>
      </c>
      <c r="G18" s="1">
        <f t="shared" si="5"/>
        <v>260790.52254616236</v>
      </c>
      <c r="K18" s="20"/>
      <c r="L18" s="21"/>
    </row>
    <row r="19" spans="1:12" ht="15">
      <c r="A19" s="2">
        <v>2020</v>
      </c>
      <c r="B19" s="1">
        <f t="shared" si="2"/>
        <v>2512668.117611937</v>
      </c>
      <c r="C19" s="1">
        <f t="shared" si="0"/>
        <v>1827231.374664559</v>
      </c>
      <c r="D19" s="1">
        <f t="shared" si="1"/>
        <v>368962.15962746105</v>
      </c>
      <c r="E19" s="1">
        <f t="shared" si="3"/>
        <v>2196193.53429202</v>
      </c>
      <c r="F19" s="1">
        <f t="shared" si="4"/>
        <v>316474.5833199173</v>
      </c>
      <c r="G19" s="1">
        <f t="shared" si="5"/>
        <v>316474.5833199173</v>
      </c>
      <c r="K19" s="20"/>
      <c r="L19" s="21"/>
    </row>
    <row r="20" spans="1:12" ht="15">
      <c r="A20" s="2">
        <v>2021</v>
      </c>
      <c r="B20" s="1">
        <f t="shared" si="2"/>
        <v>2638301.523492534</v>
      </c>
      <c r="C20" s="1">
        <f t="shared" si="0"/>
        <v>1882048.3159044958</v>
      </c>
      <c r="D20" s="1">
        <f t="shared" si="1"/>
        <v>380031.02441628487</v>
      </c>
      <c r="E20" s="1">
        <f t="shared" si="3"/>
        <v>2262079.340320781</v>
      </c>
      <c r="F20" s="1">
        <f t="shared" si="4"/>
        <v>376222.1831717533</v>
      </c>
      <c r="G20" s="1">
        <f t="shared" si="5"/>
        <v>376222.1831717533</v>
      </c>
      <c r="K20" s="20"/>
      <c r="L20" s="21"/>
    </row>
    <row r="21" spans="1:12" ht="15">
      <c r="A21" s="2">
        <v>2022</v>
      </c>
      <c r="B21" s="1">
        <f t="shared" si="2"/>
        <v>2770216.5996671612</v>
      </c>
      <c r="C21" s="1">
        <f t="shared" si="0"/>
        <v>1938509.7653816307</v>
      </c>
      <c r="D21" s="1">
        <f t="shared" si="1"/>
        <v>391431.95514877344</v>
      </c>
      <c r="E21" s="1">
        <f t="shared" si="3"/>
        <v>2329941.7205304042</v>
      </c>
      <c r="F21" s="1">
        <f t="shared" si="4"/>
        <v>440274.879136757</v>
      </c>
      <c r="G21" s="1">
        <f t="shared" si="5"/>
        <v>440274.879136757</v>
      </c>
      <c r="K21" s="20"/>
      <c r="L21" s="21"/>
    </row>
    <row r="22" spans="1:12" ht="15">
      <c r="A22" s="2">
        <v>2023</v>
      </c>
      <c r="B22" s="1">
        <f t="shared" si="2"/>
        <v>2908727.4296505195</v>
      </c>
      <c r="C22" s="1">
        <f t="shared" si="0"/>
        <v>1996665.0583430796</v>
      </c>
      <c r="D22" s="1">
        <f t="shared" si="1"/>
        <v>403174.9138032367</v>
      </c>
      <c r="E22" s="1">
        <f t="shared" si="3"/>
        <v>2399839.9721463164</v>
      </c>
      <c r="F22" s="1">
        <f t="shared" si="4"/>
        <v>508887.4575042031</v>
      </c>
      <c r="G22" s="1">
        <f t="shared" si="5"/>
        <v>508887.4575042031</v>
      </c>
      <c r="K22" s="20"/>
      <c r="L22" s="21"/>
    </row>
    <row r="23" spans="1:12" ht="15">
      <c r="A23" s="2">
        <v>2024</v>
      </c>
      <c r="B23" s="1">
        <f t="shared" si="2"/>
        <v>3054163.8011330455</v>
      </c>
      <c r="C23" s="1">
        <f t="shared" si="0"/>
        <v>2056565.010093372</v>
      </c>
      <c r="D23" s="1">
        <f t="shared" si="1"/>
        <v>415270.1612173338</v>
      </c>
      <c r="E23" s="1">
        <f t="shared" si="3"/>
        <v>2471835.171310706</v>
      </c>
      <c r="F23" s="1">
        <f t="shared" si="4"/>
        <v>582328.6298223394</v>
      </c>
      <c r="G23" s="1">
        <f t="shared" si="5"/>
        <v>582328.6298223394</v>
      </c>
      <c r="K23" s="20"/>
      <c r="L23" s="21"/>
    </row>
    <row r="24" spans="1:12" ht="15">
      <c r="A24" s="2">
        <v>2025</v>
      </c>
      <c r="B24" s="1">
        <f t="shared" si="2"/>
        <v>3206871.9911896978</v>
      </c>
      <c r="C24" s="1">
        <f t="shared" si="0"/>
        <v>2118261.9603961734</v>
      </c>
      <c r="D24" s="1">
        <f t="shared" si="1"/>
        <v>427728.26605385385</v>
      </c>
      <c r="E24" s="1">
        <f t="shared" si="3"/>
        <v>2545990.2264500274</v>
      </c>
      <c r="F24" s="1">
        <f t="shared" si="4"/>
        <v>660881.7647396703</v>
      </c>
      <c r="G24" s="1">
        <f t="shared" si="5"/>
        <v>660881.7647396703</v>
      </c>
      <c r="K24" s="20"/>
      <c r="L24" s="21"/>
    </row>
    <row r="25" spans="1:12" ht="15">
      <c r="A25" s="2">
        <v>2026</v>
      </c>
      <c r="B25" s="1">
        <f t="shared" si="2"/>
        <v>3367215.5907491827</v>
      </c>
      <c r="C25" s="1">
        <f t="shared" si="0"/>
        <v>2181809.8192080585</v>
      </c>
      <c r="D25" s="1">
        <f t="shared" si="1"/>
        <v>440560.1140354695</v>
      </c>
      <c r="E25" s="1">
        <f t="shared" si="3"/>
        <v>2622369.933243528</v>
      </c>
      <c r="F25" s="1">
        <f t="shared" si="4"/>
        <v>744845.6575056547</v>
      </c>
      <c r="G25" s="1">
        <f t="shared" si="5"/>
        <v>744845.6575056547</v>
      </c>
      <c r="K25" s="20"/>
      <c r="L25" s="21"/>
    </row>
    <row r="26" spans="1:12" ht="15">
      <c r="A26" s="2">
        <v>2027</v>
      </c>
      <c r="B26" s="1">
        <f t="shared" si="2"/>
        <v>3535576.370286642</v>
      </c>
      <c r="C26" s="1">
        <f t="shared" si="0"/>
        <v>2247264.1137843</v>
      </c>
      <c r="D26" s="1">
        <f t="shared" si="1"/>
        <v>453776.9174565336</v>
      </c>
      <c r="E26" s="1">
        <f t="shared" si="3"/>
        <v>2701041.031240834</v>
      </c>
      <c r="F26" s="1">
        <f t="shared" si="4"/>
        <v>834535.3390458082</v>
      </c>
      <c r="G26" s="1">
        <f t="shared" si="5"/>
        <v>834535.3390458082</v>
      </c>
      <c r="K26" s="20"/>
      <c r="L26" s="21"/>
    </row>
    <row r="27" spans="1:12" ht="15">
      <c r="A27" s="2">
        <v>2028</v>
      </c>
      <c r="B27" s="1">
        <f t="shared" si="2"/>
        <v>3712355.1888009743</v>
      </c>
      <c r="C27" s="1">
        <f t="shared" si="0"/>
        <v>2314682.037197829</v>
      </c>
      <c r="D27" s="1">
        <f t="shared" si="1"/>
        <v>467390.2249802296</v>
      </c>
      <c r="E27" s="1">
        <f t="shared" si="3"/>
        <v>2782072.2621780587</v>
      </c>
      <c r="F27" s="1">
        <f t="shared" si="4"/>
        <v>930282.9266229155</v>
      </c>
      <c r="G27" s="1">
        <f t="shared" si="5"/>
        <v>930282.9266229155</v>
      </c>
      <c r="K27" s="20"/>
      <c r="L27" s="21"/>
    </row>
    <row r="28" spans="1:12" ht="15">
      <c r="A28" s="2">
        <v>2029</v>
      </c>
      <c r="B28" s="1">
        <f t="shared" si="2"/>
        <v>3897972.9482410233</v>
      </c>
      <c r="C28" s="1">
        <f t="shared" si="0"/>
        <v>2384122.498313764</v>
      </c>
      <c r="D28" s="1">
        <f t="shared" si="1"/>
        <v>481411.9317296365</v>
      </c>
      <c r="E28" s="1">
        <f t="shared" si="3"/>
        <v>2865534.4300434007</v>
      </c>
      <c r="F28" s="1">
        <f t="shared" si="4"/>
        <v>1032438.5181976226</v>
      </c>
      <c r="G28" s="1">
        <f t="shared" si="5"/>
        <v>1032438.5181976226</v>
      </c>
      <c r="K28" s="20"/>
      <c r="L28" s="21"/>
    </row>
    <row r="29" spans="1:12" ht="15">
      <c r="A29" s="2">
        <v>2030</v>
      </c>
      <c r="B29" s="1">
        <f t="shared" si="2"/>
        <v>4092871.595653075</v>
      </c>
      <c r="C29" s="1">
        <f t="shared" si="0"/>
        <v>2455646.1732631773</v>
      </c>
      <c r="D29" s="1">
        <f t="shared" si="1"/>
        <v>495854.2896815256</v>
      </c>
      <c r="E29" s="1">
        <f t="shared" si="3"/>
        <v>2951500.4629447027</v>
      </c>
      <c r="F29" s="1">
        <f t="shared" si="4"/>
        <v>1141371.132708372</v>
      </c>
      <c r="G29" s="1">
        <f t="shared" si="5"/>
        <v>1141371.132708372</v>
      </c>
      <c r="K29" s="20"/>
      <c r="L29" s="21"/>
    </row>
    <row r="30" spans="1:12" ht="15">
      <c r="A30" s="2">
        <v>2031</v>
      </c>
      <c r="B30" s="1">
        <f t="shared" si="2"/>
        <v>4297515.175435728</v>
      </c>
      <c r="C30" s="1">
        <f t="shared" si="0"/>
        <v>2529315.558461073</v>
      </c>
      <c r="D30" s="1">
        <f t="shared" si="1"/>
        <v>510729.9183719714</v>
      </c>
      <c r="E30" s="1">
        <f t="shared" si="3"/>
        <v>3040045.476833044</v>
      </c>
      <c r="F30" s="1">
        <f t="shared" si="4"/>
        <v>1257469.6986026843</v>
      </c>
      <c r="G30" s="1">
        <f t="shared" si="5"/>
        <v>1257469.6986026843</v>
      </c>
      <c r="K30" s="20"/>
      <c r="L30" s="21"/>
    </row>
    <row r="31" spans="1:12" ht="15">
      <c r="A31" s="2">
        <v>2032</v>
      </c>
      <c r="B31" s="1">
        <f t="shared" si="2"/>
        <v>4512390.934207515</v>
      </c>
      <c r="C31" s="1">
        <f t="shared" si="0"/>
        <v>2605195.025214905</v>
      </c>
      <c r="D31" s="1">
        <f t="shared" si="1"/>
        <v>526051.8159231306</v>
      </c>
      <c r="E31" s="1">
        <f t="shared" si="3"/>
        <v>3131246.8411380355</v>
      </c>
      <c r="F31" s="1">
        <f t="shared" si="4"/>
        <v>1381144.0930694793</v>
      </c>
      <c r="G31" s="1">
        <f t="shared" si="5"/>
        <v>1381144.0930694793</v>
      </c>
      <c r="K31" s="20"/>
      <c r="L31" s="21"/>
    </row>
    <row r="32" spans="1:12" ht="15">
      <c r="A32" s="2">
        <v>2033</v>
      </c>
      <c r="B32" s="1">
        <f t="shared" si="2"/>
        <v>4738010.480917891</v>
      </c>
      <c r="C32" s="1">
        <f t="shared" si="0"/>
        <v>2683350.875971352</v>
      </c>
      <c r="D32" s="1">
        <f t="shared" si="1"/>
        <v>541833.3704008246</v>
      </c>
      <c r="E32" s="1">
        <f t="shared" si="3"/>
        <v>3225184.246372177</v>
      </c>
      <c r="F32" s="1">
        <f t="shared" si="4"/>
        <v>1512826.2345457138</v>
      </c>
      <c r="G32" s="1">
        <f t="shared" si="5"/>
        <v>1512826.2345457138</v>
      </c>
      <c r="K32" s="20"/>
      <c r="L32" s="21"/>
    </row>
    <row r="33" spans="1:12" ht="15">
      <c r="A33" s="2">
        <v>2034</v>
      </c>
      <c r="B33" s="1">
        <f t="shared" si="2"/>
        <v>4974911.004963785</v>
      </c>
      <c r="C33" s="1">
        <f t="shared" si="0"/>
        <v>2763851.402250493</v>
      </c>
      <c r="D33" s="1">
        <f t="shared" si="1"/>
        <v>558088.3715128493</v>
      </c>
      <c r="E33" s="1">
        <f t="shared" si="3"/>
        <v>3321939.7737633423</v>
      </c>
      <c r="F33" s="1">
        <f t="shared" si="4"/>
        <v>1652971.231200443</v>
      </c>
      <c r="G33" s="1">
        <f t="shared" si="5"/>
        <v>1652971.231200443</v>
      </c>
      <c r="K33" s="20"/>
      <c r="L33" s="21"/>
    </row>
    <row r="34" spans="1:12" ht="15">
      <c r="A34" s="2">
        <v>2035</v>
      </c>
      <c r="B34" s="1">
        <f t="shared" si="2"/>
        <v>5223656.555211975</v>
      </c>
      <c r="C34" s="1">
        <f t="shared" si="0"/>
        <v>2846766.9443180077</v>
      </c>
      <c r="D34" s="1">
        <f t="shared" si="1"/>
        <v>574831.0226582348</v>
      </c>
      <c r="E34" s="1">
        <f t="shared" si="3"/>
        <v>3421597.9669762426</v>
      </c>
      <c r="F34" s="1">
        <f t="shared" si="4"/>
        <v>1802058.5882357326</v>
      </c>
      <c r="G34" s="1">
        <f t="shared" si="5"/>
        <v>1802058.5882357326</v>
      </c>
      <c r="K34" s="20"/>
      <c r="L34" s="21"/>
    </row>
    <row r="35" spans="1:12" ht="15">
      <c r="A35" s="2">
        <v>2036</v>
      </c>
      <c r="B35" s="1">
        <f t="shared" si="2"/>
        <v>5484839.382972574</v>
      </c>
      <c r="C35" s="1">
        <f t="shared" si="0"/>
        <v>2932169.952647548</v>
      </c>
      <c r="D35" s="1">
        <f t="shared" si="1"/>
        <v>592075.9533379818</v>
      </c>
      <c r="E35" s="1">
        <f t="shared" si="3"/>
        <v>3524245.90598553</v>
      </c>
      <c r="F35" s="1">
        <f t="shared" si="4"/>
        <v>1960593.4769870439</v>
      </c>
      <c r="G35" s="1">
        <f t="shared" si="5"/>
        <v>1960593.4769870439</v>
      </c>
      <c r="K35" s="20"/>
      <c r="L35" s="21"/>
    </row>
    <row r="36" spans="1:12" ht="15">
      <c r="A36" s="2">
        <v>2037</v>
      </c>
      <c r="B36" s="1">
        <f t="shared" si="2"/>
        <v>5759081.352121203</v>
      </c>
      <c r="C36" s="1">
        <f t="shared" si="0"/>
        <v>3020135.0512269745</v>
      </c>
      <c r="D36" s="1">
        <f t="shared" si="1"/>
        <v>609838.2319381213</v>
      </c>
      <c r="E36" s="1">
        <f t="shared" si="3"/>
        <v>3629973.283165096</v>
      </c>
      <c r="F36" s="1">
        <f t="shared" si="4"/>
        <v>2129108.0689561074</v>
      </c>
      <c r="G36" s="1">
        <f t="shared" si="5"/>
        <v>2129108.0689561074</v>
      </c>
      <c r="K36" s="20"/>
      <c r="L36" s="21"/>
    </row>
    <row r="37" spans="1:12" ht="15">
      <c r="A37" s="2">
        <v>2038</v>
      </c>
      <c r="B37" s="1">
        <f t="shared" si="2"/>
        <v>6047035.419727264</v>
      </c>
      <c r="C37" s="1">
        <f t="shared" si="0"/>
        <v>3110739.1027637837</v>
      </c>
      <c r="D37" s="1">
        <f t="shared" si="1"/>
        <v>628133.3788962649</v>
      </c>
      <c r="E37" s="1">
        <f t="shared" si="3"/>
        <v>3738872.4816600485</v>
      </c>
      <c r="F37" s="1">
        <f t="shared" si="4"/>
        <v>2308162.9380672155</v>
      </c>
      <c r="G37" s="1">
        <f t="shared" si="5"/>
        <v>2308162.9380672155</v>
      </c>
      <c r="K37" s="20"/>
      <c r="L37" s="21"/>
    </row>
    <row r="38" spans="1:12" ht="15">
      <c r="A38" s="2">
        <v>2039</v>
      </c>
      <c r="B38" s="1">
        <f t="shared" si="2"/>
        <v>6349387.190713627</v>
      </c>
      <c r="C38" s="1">
        <f t="shared" si="0"/>
        <v>3204061.2758466974</v>
      </c>
      <c r="D38" s="1">
        <f t="shared" si="1"/>
        <v>646977.3802631529</v>
      </c>
      <c r="E38" s="1">
        <f t="shared" si="3"/>
        <v>3851038.6561098504</v>
      </c>
      <c r="F38" s="1">
        <f t="shared" si="4"/>
        <v>2498348.534603777</v>
      </c>
      <c r="G38" s="1">
        <f t="shared" si="5"/>
        <v>2498348.534603777</v>
      </c>
      <c r="K38" s="20"/>
      <c r="L38" s="21"/>
    </row>
    <row r="39" spans="1:12" ht="15">
      <c r="A39" s="2">
        <v>2040</v>
      </c>
      <c r="B39" s="1">
        <f t="shared" si="2"/>
        <v>6666856.550249309</v>
      </c>
      <c r="C39" s="1">
        <f t="shared" si="0"/>
        <v>3300183.1141220983</v>
      </c>
      <c r="D39" s="1">
        <f t="shared" si="1"/>
        <v>666386.7016710475</v>
      </c>
      <c r="E39" s="1">
        <f t="shared" si="3"/>
        <v>3966569.815793146</v>
      </c>
      <c r="F39" s="1">
        <f t="shared" si="4"/>
        <v>2700286.7344561634</v>
      </c>
      <c r="G39" s="1">
        <f t="shared" si="5"/>
        <v>2700286.7344561634</v>
      </c>
      <c r="K39" s="20"/>
      <c r="L39" s="21"/>
    </row>
    <row r="40" spans="1:12" ht="15">
      <c r="A40" s="2">
        <v>2041</v>
      </c>
      <c r="B40" s="1">
        <f t="shared" si="2"/>
        <v>7000199.377761775</v>
      </c>
      <c r="C40" s="1">
        <f t="shared" si="0"/>
        <v>3399188.6075457614</v>
      </c>
      <c r="D40" s="1">
        <f t="shared" si="1"/>
        <v>686378.302721179</v>
      </c>
      <c r="E40" s="1">
        <f t="shared" si="3"/>
        <v>4085566.9102669405</v>
      </c>
      <c r="F40" s="1">
        <f t="shared" si="4"/>
        <v>2914632.467494834</v>
      </c>
      <c r="G40" s="1">
        <f t="shared" si="5"/>
        <v>2914632.467494834</v>
      </c>
      <c r="K40" s="20"/>
      <c r="L40" s="21"/>
    </row>
    <row r="41" spans="1:12" ht="15">
      <c r="A41" s="2">
        <v>2042</v>
      </c>
      <c r="B41" s="1">
        <f t="shared" si="2"/>
        <v>7350209.346649864</v>
      </c>
      <c r="C41" s="1">
        <f t="shared" si="0"/>
        <v>3501164.2657721345</v>
      </c>
      <c r="D41" s="1">
        <f t="shared" si="1"/>
        <v>706969.6518028143</v>
      </c>
      <c r="E41" s="1">
        <f t="shared" si="3"/>
        <v>4208133.917574949</v>
      </c>
      <c r="F41" s="1">
        <f t="shared" si="4"/>
        <v>3142075.429074915</v>
      </c>
      <c r="G41" s="1">
        <f t="shared" si="5"/>
        <v>3142075.429074915</v>
      </c>
      <c r="K41" s="20"/>
      <c r="L41" s="21"/>
    </row>
    <row r="42" spans="1:12" ht="15">
      <c r="A42" s="2">
        <v>2043</v>
      </c>
      <c r="B42" s="1">
        <f t="shared" si="2"/>
        <v>7717719.813982357</v>
      </c>
      <c r="C42" s="1">
        <f t="shared" si="0"/>
        <v>3606199.193745299</v>
      </c>
      <c r="D42" s="1">
        <f t="shared" si="1"/>
        <v>728178.7413568988</v>
      </c>
      <c r="E42" s="1">
        <f t="shared" si="3"/>
        <v>4334377.935102197</v>
      </c>
      <c r="F42" s="1">
        <f t="shared" si="4"/>
        <v>3383341.87888016</v>
      </c>
      <c r="G42" s="1">
        <f t="shared" si="5"/>
        <v>3383341.87888016</v>
      </c>
      <c r="K42" s="20"/>
      <c r="L42" s="21"/>
    </row>
    <row r="43" spans="1:12" ht="15">
      <c r="A43" s="2">
        <v>2044</v>
      </c>
      <c r="B43" s="1">
        <f t="shared" si="2"/>
        <v>8103605.804681475</v>
      </c>
      <c r="C43" s="1">
        <f t="shared" si="0"/>
        <v>3714385.169557658</v>
      </c>
      <c r="D43" s="1">
        <f t="shared" si="1"/>
        <v>750024.1035976058</v>
      </c>
      <c r="E43" s="1">
        <f t="shared" si="3"/>
        <v>4464409.273155264</v>
      </c>
      <c r="F43" s="1">
        <f t="shared" si="4"/>
        <v>3639196.5315262116</v>
      </c>
      <c r="G43" s="1">
        <f t="shared" si="5"/>
        <v>3639196.5315262116</v>
      </c>
      <c r="K43" s="20"/>
      <c r="L43" s="21"/>
    </row>
    <row r="44" spans="1:12" ht="15">
      <c r="A44" s="2">
        <v>2045</v>
      </c>
      <c r="B44" s="1">
        <f t="shared" si="2"/>
        <v>8508786.09491555</v>
      </c>
      <c r="C44" s="1">
        <f t="shared" si="0"/>
        <v>3825816.724644388</v>
      </c>
      <c r="D44" s="1">
        <f t="shared" si="1"/>
        <v>772524.826705534</v>
      </c>
      <c r="E44" s="1">
        <f t="shared" si="3"/>
        <v>4598341.551349922</v>
      </c>
      <c r="F44" s="1">
        <f t="shared" si="4"/>
        <v>3910444.543565628</v>
      </c>
      <c r="G44" s="1">
        <f t="shared" si="5"/>
        <v>3910444.543565628</v>
      </c>
      <c r="K44" s="20"/>
      <c r="L44" s="21"/>
    </row>
    <row r="45" spans="1:12" ht="15">
      <c r="A45" s="2">
        <v>2046</v>
      </c>
      <c r="B45" s="1">
        <f t="shared" si="2"/>
        <v>8934225.399661329</v>
      </c>
      <c r="C45" s="1">
        <f aca="true" t="shared" si="6" ref="C45:C61">C44*(1+$H$4)</f>
        <v>3940591.2263837196</v>
      </c>
      <c r="D45" s="1">
        <f aca="true" t="shared" si="7" ref="D45:D61">D44*(1+$H$4)</f>
        <v>795700.5715067</v>
      </c>
      <c r="E45" s="1">
        <f t="shared" si="3"/>
        <v>4736291.797890419</v>
      </c>
      <c r="F45" s="1">
        <f t="shared" si="4"/>
        <v>4197933.6017709095</v>
      </c>
      <c r="G45" s="1">
        <f t="shared" si="5"/>
        <v>4197933.6017709095</v>
      </c>
      <c r="K45" s="20"/>
      <c r="L45" s="21"/>
    </row>
    <row r="46" spans="1:12" ht="15">
      <c r="A46" s="2">
        <v>2047</v>
      </c>
      <c r="B46" s="1">
        <f t="shared" si="2"/>
        <v>9380936.669644395</v>
      </c>
      <c r="C46" s="1">
        <f t="shared" si="6"/>
        <v>4058808.963175231</v>
      </c>
      <c r="D46" s="1">
        <f t="shared" si="7"/>
        <v>819571.588651901</v>
      </c>
      <c r="E46" s="1">
        <f t="shared" si="3"/>
        <v>4878380.551827132</v>
      </c>
      <c r="F46" s="1">
        <f t="shared" si="4"/>
        <v>4502556.117817263</v>
      </c>
      <c r="G46" s="1">
        <f t="shared" si="5"/>
        <v>4502556.117817263</v>
      </c>
      <c r="K46" s="20"/>
      <c r="L46" s="21"/>
    </row>
    <row r="47" spans="1:12" ht="15">
      <c r="A47" s="2">
        <v>2048</v>
      </c>
      <c r="B47" s="1">
        <f t="shared" si="2"/>
        <v>9849983.503126616</v>
      </c>
      <c r="C47" s="1">
        <f t="shared" si="6"/>
        <v>4180573.2320704884</v>
      </c>
      <c r="D47" s="1">
        <f t="shared" si="7"/>
        <v>844158.736311458</v>
      </c>
      <c r="E47" s="1">
        <f t="shared" si="3"/>
        <v>5024731.968381947</v>
      </c>
      <c r="F47" s="1">
        <f t="shared" si="4"/>
        <v>4825251.534744669</v>
      </c>
      <c r="G47" s="1">
        <f t="shared" si="5"/>
        <v>4825251.534744669</v>
      </c>
      <c r="K47" s="20"/>
      <c r="L47" s="21"/>
    </row>
    <row r="48" spans="1:12" ht="15">
      <c r="A48" s="2">
        <v>2049</v>
      </c>
      <c r="B48" s="1">
        <f t="shared" si="2"/>
        <v>10342482.678282946</v>
      </c>
      <c r="C48" s="1">
        <f t="shared" si="6"/>
        <v>4305990.429032603</v>
      </c>
      <c r="D48" s="1">
        <f t="shared" si="7"/>
        <v>869483.4984008018</v>
      </c>
      <c r="E48" s="1">
        <f t="shared" si="3"/>
        <v>5175473.927433405</v>
      </c>
      <c r="F48" s="1">
        <f t="shared" si="4"/>
        <v>5167008.750849541</v>
      </c>
      <c r="G48" s="1">
        <f t="shared" si="5"/>
        <v>5167008.750849541</v>
      </c>
      <c r="K48" s="20"/>
      <c r="L48" s="21"/>
    </row>
    <row r="49" spans="1:12" ht="15">
      <c r="A49" s="2">
        <v>2050</v>
      </c>
      <c r="B49" s="1">
        <f t="shared" si="2"/>
        <v>10859606.812197095</v>
      </c>
      <c r="C49" s="1">
        <f t="shared" si="6"/>
        <v>4435170.141903581</v>
      </c>
      <c r="D49" s="1">
        <f t="shared" si="7"/>
        <v>895568.0033528259</v>
      </c>
      <c r="E49" s="1">
        <f t="shared" si="3"/>
        <v>5330738.145256407</v>
      </c>
      <c r="F49" s="1">
        <f t="shared" si="4"/>
        <v>5528868.666940688</v>
      </c>
      <c r="G49" s="1">
        <f t="shared" si="5"/>
        <v>5528868.666940688</v>
      </c>
      <c r="K49" s="20"/>
      <c r="L49" s="21"/>
    </row>
    <row r="50" spans="1:12" ht="15">
      <c r="A50" s="2">
        <v>2051</v>
      </c>
      <c r="B50" s="1">
        <f t="shared" si="2"/>
        <v>11402587.15280695</v>
      </c>
      <c r="C50" s="1">
        <f t="shared" si="6"/>
        <v>4568225.246160689</v>
      </c>
      <c r="D50" s="1">
        <f t="shared" si="7"/>
        <v>922435.0434534107</v>
      </c>
      <c r="E50" s="1">
        <f t="shared" si="3"/>
        <v>5490660.2896141</v>
      </c>
      <c r="F50" s="1">
        <f t="shared" si="4"/>
        <v>5911926.863192851</v>
      </c>
      <c r="G50" s="1">
        <f t="shared" si="5"/>
        <v>5911926.863192851</v>
      </c>
      <c r="K50" s="20"/>
      <c r="L50" s="21"/>
    </row>
    <row r="51" spans="1:12" ht="15">
      <c r="A51" s="2">
        <v>2052</v>
      </c>
      <c r="B51" s="1">
        <f t="shared" si="2"/>
        <v>11972716.5104473</v>
      </c>
      <c r="C51" s="1">
        <f t="shared" si="6"/>
        <v>4705272.00354551</v>
      </c>
      <c r="D51" s="1">
        <f t="shared" si="7"/>
        <v>950108.094757013</v>
      </c>
      <c r="E51" s="1">
        <f t="shared" si="3"/>
        <v>5655380.098302523</v>
      </c>
      <c r="F51" s="1">
        <f t="shared" si="4"/>
        <v>6317336.412144776</v>
      </c>
      <c r="G51" s="1">
        <f t="shared" si="5"/>
        <v>6317336.412144776</v>
      </c>
      <c r="K51" s="20"/>
      <c r="L51" s="21"/>
    </row>
    <row r="52" spans="1:12" ht="15">
      <c r="A52" s="2">
        <v>2053</v>
      </c>
      <c r="B52" s="1">
        <f t="shared" si="2"/>
        <v>12571352.335969664</v>
      </c>
      <c r="C52" s="1">
        <f t="shared" si="6"/>
        <v>4846430.163651875</v>
      </c>
      <c r="D52" s="1">
        <f t="shared" si="7"/>
        <v>978611.3375997235</v>
      </c>
      <c r="E52" s="1">
        <f t="shared" si="3"/>
        <v>5825041.501251599</v>
      </c>
      <c r="F52" s="1">
        <f t="shared" si="4"/>
        <v>6746310.834718065</v>
      </c>
      <c r="G52" s="1">
        <f t="shared" si="5"/>
        <v>6746310.834718065</v>
      </c>
      <c r="K52" s="20"/>
      <c r="L52" s="21"/>
    </row>
    <row r="53" spans="1:12" ht="15">
      <c r="A53" s="2">
        <v>2054</v>
      </c>
      <c r="B53" s="1">
        <f t="shared" si="2"/>
        <v>13199919.952768147</v>
      </c>
      <c r="C53" s="1">
        <f t="shared" si="6"/>
        <v>4991823.068561432</v>
      </c>
      <c r="D53" s="1">
        <f t="shared" si="7"/>
        <v>1007969.6777277152</v>
      </c>
      <c r="E53" s="1">
        <f t="shared" si="3"/>
        <v>5999792.746289147</v>
      </c>
      <c r="F53" s="1">
        <f t="shared" si="4"/>
        <v>7200127.206479</v>
      </c>
      <c r="G53" s="1">
        <f t="shared" si="5"/>
        <v>7200127.206479</v>
      </c>
      <c r="K53" s="20"/>
      <c r="L53" s="21"/>
    </row>
    <row r="54" spans="1:12" ht="15">
      <c r="A54" s="2">
        <v>2055</v>
      </c>
      <c r="B54" s="1">
        <f t="shared" si="2"/>
        <v>13859915.950406555</v>
      </c>
      <c r="C54" s="1">
        <f t="shared" si="6"/>
        <v>5141577.760618275</v>
      </c>
      <c r="D54" s="1">
        <f t="shared" si="7"/>
        <v>1038208.7680595467</v>
      </c>
      <c r="E54" s="1">
        <f t="shared" si="3"/>
        <v>6179786.528677822</v>
      </c>
      <c r="F54" s="1">
        <f t="shared" si="4"/>
        <v>7680129.421728733</v>
      </c>
      <c r="G54" s="1">
        <f t="shared" si="5"/>
        <v>7680129.421728733</v>
      </c>
      <c r="K54" s="20"/>
      <c r="L54" s="21"/>
    </row>
    <row r="55" spans="1:12" ht="15">
      <c r="A55" s="2">
        <v>2056</v>
      </c>
      <c r="B55" s="1">
        <f t="shared" si="2"/>
        <v>14552911.747926883</v>
      </c>
      <c r="C55" s="1">
        <f t="shared" si="6"/>
        <v>5295825.093436823</v>
      </c>
      <c r="D55" s="1">
        <f t="shared" si="7"/>
        <v>1069355.0311013332</v>
      </c>
      <c r="E55" s="1">
        <f t="shared" si="3"/>
        <v>6365180.124538156</v>
      </c>
      <c r="F55" s="1">
        <f t="shared" si="4"/>
        <v>8187731.623388727</v>
      </c>
      <c r="G55" s="1">
        <f t="shared" si="5"/>
        <v>8187731.623388727</v>
      </c>
      <c r="K55" s="20"/>
      <c r="L55" s="21"/>
    </row>
    <row r="56" spans="1:12" ht="15">
      <c r="A56" s="2">
        <v>2057</v>
      </c>
      <c r="B56" s="1">
        <f t="shared" si="2"/>
        <v>15280557.335323228</v>
      </c>
      <c r="C56" s="1">
        <f t="shared" si="6"/>
        <v>5454699.846239928</v>
      </c>
      <c r="D56" s="1">
        <f t="shared" si="7"/>
        <v>1101435.6820343733</v>
      </c>
      <c r="E56" s="1">
        <f t="shared" si="3"/>
        <v>6556135.528274301</v>
      </c>
      <c r="F56" s="1">
        <f t="shared" si="4"/>
        <v>8724421.807048926</v>
      </c>
      <c r="G56" s="1">
        <f t="shared" si="5"/>
        <v>8724421.807048926</v>
      </c>
      <c r="K56" s="20"/>
      <c r="L56" s="21"/>
    </row>
    <row r="57" spans="1:12" ht="15">
      <c r="A57" s="2">
        <v>2058</v>
      </c>
      <c r="B57" s="1">
        <f t="shared" si="2"/>
        <v>16044585.20208939</v>
      </c>
      <c r="C57" s="1">
        <f t="shared" si="6"/>
        <v>5618340.841627127</v>
      </c>
      <c r="D57" s="1">
        <f t="shared" si="7"/>
        <v>1134478.7524954046</v>
      </c>
      <c r="E57" s="1">
        <f t="shared" si="3"/>
        <v>6752819.594122531</v>
      </c>
      <c r="F57" s="1">
        <f t="shared" si="4"/>
        <v>9291765.607966859</v>
      </c>
      <c r="G57" s="1">
        <f t="shared" si="5"/>
        <v>9291765.607966859</v>
      </c>
      <c r="K57" s="20"/>
      <c r="L57" s="21"/>
    </row>
    <row r="58" spans="1:12" ht="15">
      <c r="A58" s="2">
        <v>2059</v>
      </c>
      <c r="B58" s="1">
        <f t="shared" si="2"/>
        <v>16846814.46219386</v>
      </c>
      <c r="C58" s="1">
        <f t="shared" si="6"/>
        <v>5786891.06687594</v>
      </c>
      <c r="D58" s="1">
        <f t="shared" si="7"/>
        <v>1168513.1150702666</v>
      </c>
      <c r="E58" s="1">
        <f t="shared" si="3"/>
        <v>6955404.181946207</v>
      </c>
      <c r="F58" s="1">
        <f t="shared" si="4"/>
        <v>9891410.280247655</v>
      </c>
      <c r="G58" s="1">
        <f t="shared" si="5"/>
        <v>9891410.280247655</v>
      </c>
      <c r="K58" s="20"/>
      <c r="L58" s="21"/>
    </row>
    <row r="59" spans="1:12" ht="15">
      <c r="A59" s="2">
        <v>2060</v>
      </c>
      <c r="B59" s="1">
        <f t="shared" si="2"/>
        <v>17689155.185303554</v>
      </c>
      <c r="C59" s="1">
        <f t="shared" si="6"/>
        <v>5960497.798882219</v>
      </c>
      <c r="D59" s="1">
        <f t="shared" si="7"/>
        <v>1203568.5085223748</v>
      </c>
      <c r="E59" s="1">
        <f t="shared" si="3"/>
        <v>7164066.307404594</v>
      </c>
      <c r="F59" s="1">
        <f t="shared" si="4"/>
        <v>10525088.877898961</v>
      </c>
      <c r="G59" s="1">
        <f t="shared" si="5"/>
        <v>10525088.877898961</v>
      </c>
      <c r="K59" s="20"/>
      <c r="L59" s="21"/>
    </row>
    <row r="60" spans="1:12" ht="15">
      <c r="A60" s="2">
        <v>2061</v>
      </c>
      <c r="B60" s="1">
        <f t="shared" si="2"/>
        <v>18573612.94456873</v>
      </c>
      <c r="C60" s="1">
        <f t="shared" si="6"/>
        <v>6139312.732848686</v>
      </c>
      <c r="D60" s="1">
        <f t="shared" si="7"/>
        <v>1239675.563778046</v>
      </c>
      <c r="E60" s="1">
        <f t="shared" si="3"/>
        <v>7378988.296626732</v>
      </c>
      <c r="F60" s="1">
        <f t="shared" si="4"/>
        <v>11194624.647942</v>
      </c>
      <c r="G60" s="1">
        <f t="shared" si="5"/>
        <v>11194624.647942</v>
      </c>
      <c r="K60" s="20"/>
      <c r="L60" s="21"/>
    </row>
    <row r="61" spans="1:12" ht="15">
      <c r="A61" s="2">
        <v>2062</v>
      </c>
      <c r="B61" s="1">
        <f t="shared" si="2"/>
        <v>19502293.59179717</v>
      </c>
      <c r="C61" s="1">
        <f t="shared" si="6"/>
        <v>6323492.114834147</v>
      </c>
      <c r="D61" s="1">
        <f t="shared" si="7"/>
        <v>1276865.8306913874</v>
      </c>
      <c r="E61" s="1">
        <f t="shared" si="3"/>
        <v>7600357.945525534</v>
      </c>
      <c r="F61" s="1">
        <f t="shared" si="4"/>
        <v>11901935.646271635</v>
      </c>
      <c r="G61" s="1">
        <f t="shared" si="5"/>
        <v>11901935.646271635</v>
      </c>
      <c r="K61" s="20"/>
      <c r="L61" s="21"/>
    </row>
    <row r="62" spans="1:12" ht="15">
      <c r="A62" s="2"/>
      <c r="B62" s="1"/>
      <c r="C62" s="1"/>
      <c r="D62" s="1"/>
      <c r="E62" s="1"/>
      <c r="F62" s="1"/>
      <c r="G62" s="1"/>
      <c r="K62" s="20"/>
      <c r="L62" s="21"/>
    </row>
    <row r="63" spans="1:11" ht="15">
      <c r="A63" s="2"/>
      <c r="K63" s="12"/>
    </row>
    <row r="64" ht="15">
      <c r="K64" s="12"/>
    </row>
    <row r="65" ht="15">
      <c r="K65" s="12"/>
    </row>
    <row r="66" ht="15">
      <c r="K66" s="12"/>
    </row>
    <row r="67" ht="15">
      <c r="K67" s="12"/>
    </row>
    <row r="68" ht="15">
      <c r="K68" s="12"/>
    </row>
    <row r="69" ht="15">
      <c r="K69" s="12"/>
    </row>
    <row r="70" ht="15">
      <c r="K70" s="12"/>
    </row>
    <row r="71" ht="15">
      <c r="K71" s="12"/>
    </row>
    <row r="72" ht="15">
      <c r="K72" s="12"/>
    </row>
    <row r="73" ht="15">
      <c r="K73" s="12"/>
    </row>
    <row r="74" ht="15">
      <c r="K74" s="12"/>
    </row>
    <row r="75" ht="15">
      <c r="K75" s="12"/>
    </row>
    <row r="76" ht="15">
      <c r="K76" s="12"/>
    </row>
    <row r="77" ht="15">
      <c r="K77" s="12"/>
    </row>
    <row r="78" ht="15">
      <c r="K78" s="12"/>
    </row>
    <row r="79" ht="15">
      <c r="K79" s="12"/>
    </row>
    <row r="80" ht="15">
      <c r="K80" s="12"/>
    </row>
    <row r="81" ht="15">
      <c r="K81" s="12"/>
    </row>
    <row r="82" ht="15">
      <c r="K82" s="12"/>
    </row>
    <row r="83" ht="15">
      <c r="K83" s="12"/>
    </row>
    <row r="84" ht="15">
      <c r="K84" s="12"/>
    </row>
    <row r="85" ht="15">
      <c r="K85" s="12"/>
    </row>
    <row r="86" ht="15">
      <c r="K86" s="12"/>
    </row>
    <row r="87" ht="15">
      <c r="K87" s="12"/>
    </row>
    <row r="88" ht="15">
      <c r="K88" s="12"/>
    </row>
    <row r="89" ht="15">
      <c r="K89" s="12"/>
    </row>
    <row r="90" ht="15">
      <c r="K90" s="12"/>
    </row>
    <row r="91" ht="15">
      <c r="K91" s="12"/>
    </row>
    <row r="92" ht="15">
      <c r="K92" s="12"/>
    </row>
    <row r="93" ht="15">
      <c r="K93" s="12"/>
    </row>
    <row r="94" ht="15">
      <c r="K94" s="12"/>
    </row>
    <row r="95" ht="15">
      <c r="K95" s="12"/>
    </row>
    <row r="96" ht="15">
      <c r="K96" s="12"/>
    </row>
    <row r="97" ht="15">
      <c r="K97" s="12"/>
    </row>
    <row r="98" ht="15">
      <c r="K98" s="12"/>
    </row>
    <row r="99" ht="15">
      <c r="K99" s="12"/>
    </row>
    <row r="100" ht="15">
      <c r="K100" s="12"/>
    </row>
    <row r="101" ht="15">
      <c r="K101" s="12"/>
    </row>
    <row r="102" ht="15">
      <c r="K102" s="12"/>
    </row>
    <row r="103" ht="15">
      <c r="K103" s="12"/>
    </row>
    <row r="104" ht="15">
      <c r="K104" s="12"/>
    </row>
    <row r="105" ht="15">
      <c r="K105" s="12"/>
    </row>
    <row r="106" ht="15">
      <c r="K106" s="12"/>
    </row>
    <row r="107" ht="15">
      <c r="K107" s="12"/>
    </row>
    <row r="108" ht="15">
      <c r="K108" s="12"/>
    </row>
    <row r="109" ht="15">
      <c r="K109" s="12"/>
    </row>
    <row r="110" ht="15">
      <c r="K110" s="12"/>
    </row>
    <row r="111" ht="15">
      <c r="K111" s="12"/>
    </row>
    <row r="112" ht="15">
      <c r="K112" s="12"/>
    </row>
    <row r="113" ht="15">
      <c r="K113" s="12"/>
    </row>
    <row r="114" ht="15">
      <c r="K114" s="12"/>
    </row>
    <row r="115" ht="15">
      <c r="K115" s="12"/>
    </row>
    <row r="116" ht="15">
      <c r="K116" s="12"/>
    </row>
    <row r="117" ht="15">
      <c r="K117" s="12"/>
    </row>
    <row r="118" ht="15">
      <c r="K118" s="12"/>
    </row>
    <row r="119" ht="15">
      <c r="K119" s="12"/>
    </row>
    <row r="120" ht="15">
      <c r="K120" s="12"/>
    </row>
    <row r="121" ht="15">
      <c r="K121" s="12"/>
    </row>
    <row r="122" ht="15">
      <c r="K122" s="12"/>
    </row>
    <row r="123" ht="15">
      <c r="K123" s="12"/>
    </row>
    <row r="124" ht="15">
      <c r="K124" s="12"/>
    </row>
    <row r="125" ht="15">
      <c r="K125" s="12"/>
    </row>
    <row r="126" ht="15">
      <c r="K126" s="12"/>
    </row>
    <row r="127" ht="15">
      <c r="K127" s="12"/>
    </row>
    <row r="128" ht="15">
      <c r="K128" s="12"/>
    </row>
    <row r="129" ht="15">
      <c r="K129" s="12"/>
    </row>
    <row r="130" ht="15">
      <c r="K130" s="12"/>
    </row>
    <row r="131" ht="15">
      <c r="K131" s="12"/>
    </row>
    <row r="132" ht="15">
      <c r="K132" s="12"/>
    </row>
    <row r="133" ht="15">
      <c r="K133" s="12"/>
    </row>
    <row r="134" ht="15">
      <c r="K134" s="12"/>
    </row>
    <row r="135" ht="15">
      <c r="K135" s="12"/>
    </row>
    <row r="136" ht="15">
      <c r="K136" s="12"/>
    </row>
    <row r="137" ht="15">
      <c r="K137" s="12"/>
    </row>
    <row r="138" ht="15">
      <c r="K138" s="12"/>
    </row>
    <row r="139" ht="15">
      <c r="K139" s="12"/>
    </row>
    <row r="140" ht="15">
      <c r="K140" s="12"/>
    </row>
    <row r="141" ht="15">
      <c r="K141" s="12"/>
    </row>
    <row r="142" ht="15">
      <c r="K142" s="12"/>
    </row>
    <row r="143" ht="15">
      <c r="K143" s="12"/>
    </row>
    <row r="144" ht="15">
      <c r="K144" s="12"/>
    </row>
    <row r="145" ht="15">
      <c r="K145" s="12"/>
    </row>
    <row r="146" ht="15">
      <c r="K146" s="12"/>
    </row>
    <row r="147" ht="15">
      <c r="K147" s="12"/>
    </row>
    <row r="148" ht="15">
      <c r="K148" s="12"/>
    </row>
    <row r="149" ht="15">
      <c r="K149" s="12"/>
    </row>
    <row r="150" ht="15">
      <c r="K150" s="12"/>
    </row>
    <row r="151" ht="15">
      <c r="K151" s="12"/>
    </row>
    <row r="152" ht="15">
      <c r="K152" s="12"/>
    </row>
    <row r="153" ht="15">
      <c r="K153" s="12"/>
    </row>
    <row r="154" ht="15">
      <c r="K154" s="12"/>
    </row>
    <row r="155" ht="15">
      <c r="K155" s="12"/>
    </row>
    <row r="156" ht="15">
      <c r="K156" s="12"/>
    </row>
    <row r="157" ht="15">
      <c r="K157" s="12"/>
    </row>
    <row r="158" ht="15">
      <c r="K158" s="12"/>
    </row>
    <row r="159" ht="15">
      <c r="K159" s="12"/>
    </row>
    <row r="160" ht="15">
      <c r="K160" s="12"/>
    </row>
    <row r="161" ht="15">
      <c r="K161" s="12"/>
    </row>
    <row r="162" ht="15">
      <c r="K162" s="12"/>
    </row>
    <row r="163" ht="15">
      <c r="K163" s="12"/>
    </row>
    <row r="164" ht="15">
      <c r="K164" s="12"/>
    </row>
    <row r="165" ht="15">
      <c r="K165" s="12"/>
    </row>
    <row r="166" ht="15">
      <c r="K166" s="12"/>
    </row>
    <row r="167" ht="15">
      <c r="K167" s="12"/>
    </row>
    <row r="168" ht="15">
      <c r="K168" s="12"/>
    </row>
    <row r="169" ht="15">
      <c r="K169" s="12"/>
    </row>
    <row r="170" ht="15">
      <c r="K170" s="12"/>
    </row>
    <row r="171" ht="15">
      <c r="K171" s="12"/>
    </row>
    <row r="172" ht="15">
      <c r="K172" s="12"/>
    </row>
    <row r="173" ht="15">
      <c r="K173" s="12"/>
    </row>
    <row r="174" ht="15">
      <c r="K174" s="12"/>
    </row>
    <row r="175" ht="15">
      <c r="K175" s="12"/>
    </row>
    <row r="176" ht="15">
      <c r="K176" s="12"/>
    </row>
    <row r="177" ht="15">
      <c r="K177" s="12"/>
    </row>
    <row r="178" ht="15">
      <c r="K178" s="12"/>
    </row>
    <row r="179" ht="15">
      <c r="K179" s="12"/>
    </row>
    <row r="180" ht="15">
      <c r="K180" s="12"/>
    </row>
    <row r="181" ht="15">
      <c r="K181" s="12"/>
    </row>
    <row r="182" ht="15">
      <c r="K182" s="12"/>
    </row>
    <row r="183" ht="15">
      <c r="K183" s="12"/>
    </row>
    <row r="184" ht="15">
      <c r="K184" s="12"/>
    </row>
    <row r="185" ht="15">
      <c r="K185" s="12"/>
    </row>
    <row r="186" ht="15">
      <c r="K186" s="12"/>
    </row>
    <row r="187" ht="15">
      <c r="K187" s="12"/>
    </row>
    <row r="188" ht="15">
      <c r="K188" s="12"/>
    </row>
    <row r="189" ht="15">
      <c r="K189" s="12"/>
    </row>
    <row r="190" ht="15">
      <c r="K190" s="12"/>
    </row>
    <row r="191" ht="15">
      <c r="K191" s="12"/>
    </row>
    <row r="192" ht="15">
      <c r="K192" s="12"/>
    </row>
  </sheetData>
  <sheetProtection/>
  <mergeCells count="6">
    <mergeCell ref="A2:D2"/>
    <mergeCell ref="A1:G1"/>
    <mergeCell ref="A9:B9"/>
    <mergeCell ref="I1:L1"/>
    <mergeCell ref="K2:L2"/>
    <mergeCell ref="K3:L3"/>
  </mergeCells>
  <printOptions horizontalCentered="1" verticalCentered="1"/>
  <pageMargins left="0.7" right="0.7" top="0.75" bottom="0.75" header="0.3" footer="0.3"/>
  <pageSetup orientation="landscape" paperSize="9" scale="56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4"/>
  <sheetViews>
    <sheetView tabSelected="1" zoomScalePageLayoutView="0" workbookViewId="0" topLeftCell="A1">
      <selection activeCell="F74" sqref="F74"/>
    </sheetView>
  </sheetViews>
  <sheetFormatPr defaultColWidth="8.8515625" defaultRowHeight="15"/>
  <cols>
    <col min="1" max="1" width="13.140625" style="0" customWidth="1"/>
    <col min="2" max="2" width="15.7109375" style="0" customWidth="1"/>
    <col min="3" max="3" width="13.140625" style="0" customWidth="1"/>
    <col min="4" max="4" width="13.421875" style="0" customWidth="1"/>
    <col min="5" max="5" width="12.8515625" style="0" customWidth="1"/>
    <col min="6" max="7" width="13.421875" style="0" customWidth="1"/>
    <col min="8" max="8" width="9.00390625" style="0" bestFit="1" customWidth="1"/>
    <col min="9" max="9" width="28.7109375" style="22" customWidth="1"/>
    <col min="10" max="10" width="10.00390625" style="22" bestFit="1" customWidth="1"/>
    <col min="11" max="11" width="14.7109375" style="22" bestFit="1" customWidth="1"/>
    <col min="12" max="12" width="12.421875" style="22" hidden="1" customWidth="1"/>
    <col min="13" max="13" width="11.8515625" style="22" hidden="1" customWidth="1"/>
    <col min="14" max="14" width="11.28125" style="22" hidden="1" customWidth="1"/>
    <col min="15" max="15" width="12.57421875" style="22" bestFit="1" customWidth="1"/>
    <col min="16" max="16" width="8.8515625" style="22" customWidth="1"/>
    <col min="17" max="17" width="29.00390625" style="22" hidden="1" customWidth="1"/>
    <col min="18" max="18" width="7.8515625" style="22" hidden="1" customWidth="1"/>
    <col min="19" max="19" width="25.140625" style="22" hidden="1" customWidth="1"/>
    <col min="20" max="20" width="6.7109375" style="22" hidden="1" customWidth="1"/>
    <col min="21" max="21" width="17.7109375" style="0" hidden="1" customWidth="1"/>
    <col min="22" max="22" width="6.57421875" style="0" hidden="1" customWidth="1"/>
    <col min="23" max="23" width="18.57421875" style="0" hidden="1" customWidth="1"/>
    <col min="24" max="24" width="6.57421875" style="0" hidden="1" customWidth="1"/>
    <col min="25" max="25" width="13.57421875" style="0" hidden="1" customWidth="1"/>
    <col min="26" max="26" width="6.57421875" style="0" hidden="1" customWidth="1"/>
    <col min="27" max="28" width="0" style="0" hidden="1" customWidth="1"/>
  </cols>
  <sheetData>
    <row r="1" spans="1:28" ht="15">
      <c r="A1" s="121" t="s">
        <v>53</v>
      </c>
      <c r="B1" s="122"/>
      <c r="C1" s="122"/>
      <c r="D1" s="122"/>
      <c r="E1" s="122"/>
      <c r="F1" s="122"/>
      <c r="G1" s="124"/>
      <c r="I1" s="134" t="s">
        <v>93</v>
      </c>
      <c r="J1" s="135"/>
      <c r="K1" s="135"/>
      <c r="L1" s="136"/>
      <c r="N1" s="25"/>
      <c r="Q1" s="50" t="s">
        <v>94</v>
      </c>
      <c r="R1" s="50" t="s">
        <v>24</v>
      </c>
      <c r="S1" s="50" t="s">
        <v>0</v>
      </c>
      <c r="T1" s="50" t="s">
        <v>24</v>
      </c>
      <c r="U1" s="50" t="s">
        <v>0</v>
      </c>
      <c r="V1" s="50" t="s">
        <v>24</v>
      </c>
      <c r="W1" s="50" t="s">
        <v>0</v>
      </c>
      <c r="X1" s="50" t="s">
        <v>24</v>
      </c>
      <c r="Y1" s="50" t="s">
        <v>0</v>
      </c>
      <c r="Z1" s="50" t="s">
        <v>24</v>
      </c>
      <c r="AB1" s="50" t="s">
        <v>5</v>
      </c>
    </row>
    <row r="2" spans="1:28" ht="15">
      <c r="A2" s="137" t="s">
        <v>83</v>
      </c>
      <c r="B2" s="138"/>
      <c r="C2" s="138"/>
      <c r="D2" s="139"/>
      <c r="E2" s="33" t="s">
        <v>62</v>
      </c>
      <c r="F2" s="33"/>
      <c r="G2" s="56" t="s">
        <v>63</v>
      </c>
      <c r="I2" s="95"/>
      <c r="J2" s="96"/>
      <c r="K2" s="112">
        <v>225</v>
      </c>
      <c r="L2" s="97"/>
      <c r="M2" s="98"/>
      <c r="N2" s="98"/>
      <c r="O2" s="97"/>
      <c r="Q2" s="48" t="s">
        <v>26</v>
      </c>
      <c r="AB2" s="68" t="s">
        <v>26</v>
      </c>
    </row>
    <row r="3" spans="1:28" ht="15">
      <c r="A3" s="37" t="s">
        <v>55</v>
      </c>
      <c r="B3" s="57"/>
      <c r="C3" s="57" t="s">
        <v>86</v>
      </c>
      <c r="D3" s="63" t="s">
        <v>57</v>
      </c>
      <c r="E3" s="32" t="s">
        <v>9</v>
      </c>
      <c r="F3" s="19"/>
      <c r="G3" s="15">
        <v>0.0525</v>
      </c>
      <c r="I3" s="65" t="s">
        <v>1</v>
      </c>
      <c r="J3" s="62" t="s">
        <v>2</v>
      </c>
      <c r="K3" s="62" t="s">
        <v>6</v>
      </c>
      <c r="L3" s="93" t="s">
        <v>4</v>
      </c>
      <c r="M3" s="99" t="s">
        <v>30</v>
      </c>
      <c r="N3" s="99" t="s">
        <v>31</v>
      </c>
      <c r="O3" s="97"/>
      <c r="Q3" s="53" t="s">
        <v>25</v>
      </c>
      <c r="R3" s="46">
        <v>800</v>
      </c>
      <c r="S3" s="18" t="s">
        <v>44</v>
      </c>
      <c r="T3" s="44">
        <v>480</v>
      </c>
      <c r="U3" s="3"/>
      <c r="AA3" s="49">
        <f>SUM(R3:Z3)</f>
        <v>1280</v>
      </c>
      <c r="AB3" s="43" t="s">
        <v>30</v>
      </c>
    </row>
    <row r="4" spans="1:28" ht="15">
      <c r="A4" s="14" t="s">
        <v>58</v>
      </c>
      <c r="B4" s="117">
        <v>0.15</v>
      </c>
      <c r="C4" s="38">
        <f>IF(D4&gt;0,D4/$B$5,"")</f>
        <v>33.75</v>
      </c>
      <c r="D4" s="31">
        <f>D5*B4</f>
        <v>3344178.308823529</v>
      </c>
      <c r="E4" s="58" t="s">
        <v>65</v>
      </c>
      <c r="F4" s="73"/>
      <c r="G4" s="59" t="s">
        <v>81</v>
      </c>
      <c r="H4" s="17">
        <v>0.03</v>
      </c>
      <c r="I4" s="64" t="s">
        <v>36</v>
      </c>
      <c r="J4" s="100">
        <f>VLOOKUP(I4,Q:AA,11,0)</f>
        <v>6900</v>
      </c>
      <c r="K4" s="106">
        <f>IF(J4&gt;0,J4*$K$2,0)</f>
        <v>1552500</v>
      </c>
      <c r="L4" s="103" t="s">
        <v>30</v>
      </c>
      <c r="M4" s="92"/>
      <c r="N4" s="92"/>
      <c r="O4" s="110" t="s">
        <v>13</v>
      </c>
      <c r="Q4" s="51" t="s">
        <v>27</v>
      </c>
      <c r="R4" s="46">
        <v>150</v>
      </c>
      <c r="S4" s="47"/>
      <c r="T4" s="46"/>
      <c r="U4" s="3"/>
      <c r="W4" s="3"/>
      <c r="AA4" s="49">
        <f aca="true" t="shared" si="0" ref="AA4:AA18">SUM(R4:Z4)</f>
        <v>150</v>
      </c>
      <c r="AB4" s="43" t="s">
        <v>31</v>
      </c>
    </row>
    <row r="5" spans="1:27" ht="15">
      <c r="A5" s="14" t="s">
        <v>59</v>
      </c>
      <c r="B5" s="74">
        <f>IF(D5&gt;0,D5/K2,"")</f>
        <v>99086.76470588235</v>
      </c>
      <c r="C5" s="38">
        <f>IF(D5&gt;0,D5/$B$5,"")</f>
        <v>225</v>
      </c>
      <c r="D5" s="31">
        <f>K21</f>
        <v>22294522.05882353</v>
      </c>
      <c r="E5" s="33" t="s">
        <v>66</v>
      </c>
      <c r="F5" s="33"/>
      <c r="G5" s="56" t="s">
        <v>63</v>
      </c>
      <c r="I5" s="64" t="s">
        <v>28</v>
      </c>
      <c r="J5" s="100">
        <f>VLOOKUP(I5,Q:AA,11,0)</f>
        <v>12650</v>
      </c>
      <c r="K5" s="107">
        <f aca="true" t="shared" si="1" ref="K5:K17">IF(J5&gt;0,J5*$K$2,0)</f>
        <v>2846250</v>
      </c>
      <c r="L5" s="103" t="s">
        <v>30</v>
      </c>
      <c r="M5" s="92">
        <f aca="true" t="shared" si="2" ref="M5:M18">IF(L5="Mantra",K5/$J$20,0)</f>
        <v>4185661.764705882</v>
      </c>
      <c r="N5" s="92">
        <f aca="true" t="shared" si="3" ref="N5:N18">IF(L5="PECO",(((K5/$J$20)+((K5/$J$20)*$B$4))*(1+$B$7)),"")</f>
      </c>
      <c r="O5" s="111" t="s">
        <v>13</v>
      </c>
      <c r="Q5" s="52" t="s">
        <v>28</v>
      </c>
      <c r="R5" s="46">
        <v>10000</v>
      </c>
      <c r="S5" s="47" t="s">
        <v>45</v>
      </c>
      <c r="T5" s="46">
        <v>700</v>
      </c>
      <c r="U5" s="47" t="s">
        <v>46</v>
      </c>
      <c r="V5" s="46">
        <v>1500</v>
      </c>
      <c r="W5" s="47" t="s">
        <v>47</v>
      </c>
      <c r="X5" s="46">
        <v>300</v>
      </c>
      <c r="Y5" s="47" t="s">
        <v>48</v>
      </c>
      <c r="Z5" s="46">
        <v>150</v>
      </c>
      <c r="AA5" s="49">
        <f>SUM(R5:Z5)</f>
        <v>12650</v>
      </c>
    </row>
    <row r="6" spans="1:27" ht="15">
      <c r="A6" s="14" t="s">
        <v>60</v>
      </c>
      <c r="B6" s="36"/>
      <c r="C6" s="38">
        <f>IF(D6&gt;0,D6/$B$5,"")</f>
        <v>30.276495644043397</v>
      </c>
      <c r="D6" s="118">
        <v>3000000</v>
      </c>
      <c r="E6" s="34" t="s">
        <v>78</v>
      </c>
      <c r="F6" s="34"/>
      <c r="G6" s="113">
        <v>4.3</v>
      </c>
      <c r="I6" s="64" t="s">
        <v>29</v>
      </c>
      <c r="J6" s="100">
        <f aca="true" t="shared" si="4" ref="J6:J18">VLOOKUP(I6,Q$1:AA$65536,11,0)</f>
        <v>6000</v>
      </c>
      <c r="K6" s="107">
        <f>IF(J6&gt;0,J6*$K$2,0)</f>
        <v>1350000</v>
      </c>
      <c r="L6" s="103" t="s">
        <v>30</v>
      </c>
      <c r="M6" s="92">
        <f t="shared" si="2"/>
        <v>1985294.1176470588</v>
      </c>
      <c r="N6" s="92">
        <f t="shared" si="3"/>
      </c>
      <c r="O6" s="111" t="s">
        <v>13</v>
      </c>
      <c r="Q6" s="51" t="s">
        <v>29</v>
      </c>
      <c r="R6" s="46">
        <v>6000</v>
      </c>
      <c r="U6" s="3"/>
      <c r="AA6" s="49">
        <f t="shared" si="0"/>
        <v>6000</v>
      </c>
    </row>
    <row r="7" spans="1:27" ht="15">
      <c r="A7" s="14" t="s">
        <v>92</v>
      </c>
      <c r="B7" s="117">
        <v>0.05</v>
      </c>
      <c r="C7" s="38">
        <f>IF(D7&gt;0,D7/$B$5,"")</f>
        <v>14.451324782202171</v>
      </c>
      <c r="D7" s="31">
        <f>(0.05*(SUM(D4:D6)))</f>
        <v>1431935.018382353</v>
      </c>
      <c r="E7" s="34" t="s">
        <v>79</v>
      </c>
      <c r="F7" s="34"/>
      <c r="G7" s="114">
        <v>5000</v>
      </c>
      <c r="I7" s="64" t="s">
        <v>32</v>
      </c>
      <c r="J7" s="100">
        <f t="shared" si="4"/>
        <v>5100</v>
      </c>
      <c r="K7" s="107">
        <f t="shared" si="1"/>
        <v>1147500</v>
      </c>
      <c r="L7" s="103" t="s">
        <v>30</v>
      </c>
      <c r="M7" s="92">
        <f t="shared" si="2"/>
        <v>1687499.9999999998</v>
      </c>
      <c r="N7" s="92">
        <f>IF(L7="PECO",(((K7/$J$20)+((K7/$J$20)*$B$4))*(1+$B$7)),"")</f>
      </c>
      <c r="O7" s="111" t="s">
        <v>13</v>
      </c>
      <c r="Q7" s="52" t="s">
        <v>32</v>
      </c>
      <c r="R7" s="46">
        <v>2500</v>
      </c>
      <c r="S7" s="47" t="s">
        <v>49</v>
      </c>
      <c r="T7" s="46">
        <v>300</v>
      </c>
      <c r="U7" s="47" t="s">
        <v>51</v>
      </c>
      <c r="V7" s="46">
        <v>1100</v>
      </c>
      <c r="W7" s="47" t="s">
        <v>52</v>
      </c>
      <c r="X7" s="46">
        <v>1200</v>
      </c>
      <c r="AA7" s="49">
        <f t="shared" si="0"/>
        <v>5100</v>
      </c>
    </row>
    <row r="8" spans="1:27" ht="15">
      <c r="A8" s="14" t="s">
        <v>61</v>
      </c>
      <c r="B8" s="75">
        <v>0</v>
      </c>
      <c r="C8" s="38">
        <f>IF(D8&gt;0,D8/$B$5,"")</f>
      </c>
      <c r="D8" s="31">
        <v>0</v>
      </c>
      <c r="E8" s="34" t="s">
        <v>88</v>
      </c>
      <c r="F8" s="32"/>
      <c r="G8" s="115">
        <f>6900*20</f>
        <v>138000</v>
      </c>
      <c r="I8" s="64" t="s">
        <v>33</v>
      </c>
      <c r="J8" s="100">
        <f t="shared" si="4"/>
        <v>2200</v>
      </c>
      <c r="K8" s="107">
        <f>IF(J8&gt;0,J8*$K$2,0)</f>
        <v>495000</v>
      </c>
      <c r="L8" s="103" t="s">
        <v>31</v>
      </c>
      <c r="M8" s="92">
        <f t="shared" si="2"/>
        <v>0</v>
      </c>
      <c r="N8" s="92">
        <f t="shared" si="3"/>
        <v>878988.9705882353</v>
      </c>
      <c r="O8" s="108" t="s">
        <v>31</v>
      </c>
      <c r="Q8" s="52" t="s">
        <v>33</v>
      </c>
      <c r="R8" s="46">
        <v>1800</v>
      </c>
      <c r="S8" s="47" t="s">
        <v>50</v>
      </c>
      <c r="T8" s="46">
        <v>400</v>
      </c>
      <c r="U8" s="3"/>
      <c r="AA8" s="49">
        <f t="shared" si="0"/>
        <v>2200</v>
      </c>
    </row>
    <row r="9" spans="1:27" ht="15">
      <c r="A9" s="70"/>
      <c r="B9" s="71" t="s">
        <v>18</v>
      </c>
      <c r="C9" s="14"/>
      <c r="D9" s="31">
        <f>SUM(D4:D8)</f>
        <v>30070635.38602941</v>
      </c>
      <c r="E9" s="34" t="s">
        <v>7</v>
      </c>
      <c r="F9" s="32"/>
      <c r="G9" s="115">
        <f>2400*20</f>
        <v>48000</v>
      </c>
      <c r="I9" s="64" t="s">
        <v>34</v>
      </c>
      <c r="J9" s="100">
        <f>VLOOKUP(I9,Q:AA,11,0)</f>
        <v>700</v>
      </c>
      <c r="K9" s="107">
        <f t="shared" si="1"/>
        <v>157500</v>
      </c>
      <c r="L9" s="103" t="s">
        <v>31</v>
      </c>
      <c r="M9" s="92">
        <f t="shared" si="2"/>
        <v>0</v>
      </c>
      <c r="N9" s="92">
        <f>IF(L9="PECO",(((K9/$J$20)+((K9/$J$20)*$B$4))*(1+$B$7)),"")</f>
        <v>279678.3088235294</v>
      </c>
      <c r="O9" s="108" t="s">
        <v>31</v>
      </c>
      <c r="Q9" s="51" t="s">
        <v>34</v>
      </c>
      <c r="R9" s="46">
        <v>700</v>
      </c>
      <c r="S9" s="47"/>
      <c r="T9" s="46"/>
      <c r="AA9" s="49">
        <f t="shared" si="0"/>
        <v>700</v>
      </c>
    </row>
    <row r="10" spans="1:27" ht="15">
      <c r="A10" s="42"/>
      <c r="B10" s="72" t="s">
        <v>11</v>
      </c>
      <c r="C10" s="14"/>
      <c r="D10" s="31">
        <f>-N19</f>
        <v>-10000097.702205883</v>
      </c>
      <c r="E10" s="34" t="s">
        <v>17</v>
      </c>
      <c r="F10" s="32"/>
      <c r="G10" s="115">
        <f>7200*20</f>
        <v>144000</v>
      </c>
      <c r="I10" s="64" t="s">
        <v>25</v>
      </c>
      <c r="J10" s="100">
        <f>VLOOKUP(I10,Q:AA,11,0)</f>
        <v>1280</v>
      </c>
      <c r="K10" s="107">
        <f t="shared" si="1"/>
        <v>288000</v>
      </c>
      <c r="L10" s="103" t="s">
        <v>31</v>
      </c>
      <c r="M10" s="92">
        <f t="shared" si="2"/>
        <v>0</v>
      </c>
      <c r="N10" s="92">
        <f t="shared" si="3"/>
        <v>511411.7647058823</v>
      </c>
      <c r="O10" s="108" t="s">
        <v>31</v>
      </c>
      <c r="Q10" s="51" t="s">
        <v>35</v>
      </c>
      <c r="R10" s="46">
        <v>3000</v>
      </c>
      <c r="S10" s="47"/>
      <c r="T10" s="46"/>
      <c r="AA10" s="49">
        <f t="shared" si="0"/>
        <v>3000</v>
      </c>
    </row>
    <row r="11" spans="1:27" ht="15">
      <c r="A11" s="42"/>
      <c r="B11" s="72" t="s">
        <v>12</v>
      </c>
      <c r="C11" s="14"/>
      <c r="D11" s="118">
        <f>-10000000</f>
        <v>-10000000</v>
      </c>
      <c r="E11" s="34" t="s">
        <v>80</v>
      </c>
      <c r="F11" s="35"/>
      <c r="G11" s="15">
        <v>0.03</v>
      </c>
      <c r="I11" s="64" t="s">
        <v>35</v>
      </c>
      <c r="J11" s="100">
        <f>VLOOKUP(I11,Q:AA,11,0)</f>
        <v>3000</v>
      </c>
      <c r="K11" s="107">
        <f t="shared" si="1"/>
        <v>675000</v>
      </c>
      <c r="L11" s="103" t="s">
        <v>30</v>
      </c>
      <c r="M11" s="92">
        <f t="shared" si="2"/>
        <v>992647.0588235294</v>
      </c>
      <c r="N11" s="92">
        <f t="shared" si="3"/>
      </c>
      <c r="O11" s="111" t="s">
        <v>13</v>
      </c>
      <c r="Q11" s="51" t="s">
        <v>8</v>
      </c>
      <c r="R11" s="46">
        <v>17000</v>
      </c>
      <c r="S11" s="47"/>
      <c r="T11" s="46"/>
      <c r="AA11" s="49">
        <f t="shared" si="0"/>
        <v>17000</v>
      </c>
    </row>
    <row r="12" spans="1:27" ht="15">
      <c r="A12" s="60"/>
      <c r="B12" s="40" t="s">
        <v>89</v>
      </c>
      <c r="C12" s="14"/>
      <c r="D12" s="31">
        <f>SUM(D9:D11)</f>
        <v>10070537.683823526</v>
      </c>
      <c r="E12" s="10" t="s">
        <v>87</v>
      </c>
      <c r="F12" s="8"/>
      <c r="G12" s="38">
        <v>4.5</v>
      </c>
      <c r="I12" s="64" t="s">
        <v>8</v>
      </c>
      <c r="J12" s="100">
        <f>VLOOKUP(I12,Q:AA,11,0)</f>
        <v>17000</v>
      </c>
      <c r="K12" s="107">
        <f t="shared" si="1"/>
        <v>3825000</v>
      </c>
      <c r="L12" s="103" t="s">
        <v>31</v>
      </c>
      <c r="M12" s="92">
        <f t="shared" si="2"/>
        <v>0</v>
      </c>
      <c r="N12" s="92">
        <f t="shared" si="3"/>
        <v>6792187.5</v>
      </c>
      <c r="O12" s="108" t="s">
        <v>31</v>
      </c>
      <c r="Q12" s="52" t="s">
        <v>36</v>
      </c>
      <c r="R12" s="46">
        <v>4500</v>
      </c>
      <c r="S12" s="47" t="s">
        <v>3</v>
      </c>
      <c r="T12" s="46">
        <v>2400</v>
      </c>
      <c r="AA12" s="49">
        <f>SUM(R12:Z12)</f>
        <v>6900</v>
      </c>
    </row>
    <row r="13" spans="1:27" ht="42" customHeight="1">
      <c r="A13" s="11" t="s">
        <v>91</v>
      </c>
      <c r="B13" s="11" t="s">
        <v>73</v>
      </c>
      <c r="C13" s="94" t="s">
        <v>10</v>
      </c>
      <c r="D13" s="29" t="s">
        <v>85</v>
      </c>
      <c r="E13" s="11" t="s">
        <v>74</v>
      </c>
      <c r="F13" s="11" t="s">
        <v>75</v>
      </c>
      <c r="G13" s="11" t="s">
        <v>76</v>
      </c>
      <c r="I13" s="64" t="s">
        <v>37</v>
      </c>
      <c r="J13" s="100">
        <f>VLOOKUP(I13,Q:AA,11,0)</f>
        <v>2100</v>
      </c>
      <c r="K13" s="107">
        <f t="shared" si="1"/>
        <v>472500</v>
      </c>
      <c r="L13" s="103" t="s">
        <v>30</v>
      </c>
      <c r="M13" s="92">
        <f t="shared" si="2"/>
        <v>694852.9411764705</v>
      </c>
      <c r="N13" s="92">
        <f t="shared" si="3"/>
      </c>
      <c r="O13" s="111" t="s">
        <v>13</v>
      </c>
      <c r="Q13" s="51" t="s">
        <v>37</v>
      </c>
      <c r="R13" s="46">
        <v>2100</v>
      </c>
      <c r="S13" s="47"/>
      <c r="T13" s="46"/>
      <c r="AA13" s="49">
        <f t="shared" si="0"/>
        <v>2100</v>
      </c>
    </row>
    <row r="14" spans="1:27" ht="15">
      <c r="A14" s="2">
        <v>2013</v>
      </c>
      <c r="B14" s="16">
        <f>(G7*30*G6)+G8+G9+G10</f>
        <v>975000</v>
      </c>
      <c r="C14" s="16">
        <f>D12*G3</f>
        <v>528703.2284007351</v>
      </c>
      <c r="D14" s="16">
        <f>(J21)*G12</f>
        <v>445890.4411764706</v>
      </c>
      <c r="E14" s="16">
        <f aca="true" t="shared" si="5" ref="E14:E45">C14+D14</f>
        <v>974593.6695772057</v>
      </c>
      <c r="F14" s="16">
        <f aca="true" t="shared" si="6" ref="F14:F45">B14-E14</f>
        <v>406.33042279432993</v>
      </c>
      <c r="G14" s="16">
        <f aca="true" t="shared" si="7" ref="G14:G45">F14</f>
        <v>406.33042279432993</v>
      </c>
      <c r="I14" s="64" t="s">
        <v>38</v>
      </c>
      <c r="J14" s="100">
        <f t="shared" si="4"/>
        <v>4200</v>
      </c>
      <c r="K14" s="107">
        <f t="shared" si="1"/>
        <v>945000</v>
      </c>
      <c r="L14" s="103" t="s">
        <v>30</v>
      </c>
      <c r="M14" s="92">
        <f t="shared" si="2"/>
        <v>1389705.882352941</v>
      </c>
      <c r="N14" s="92">
        <f t="shared" si="3"/>
      </c>
      <c r="O14" s="111" t="s">
        <v>13</v>
      </c>
      <c r="Q14" s="51" t="s">
        <v>38</v>
      </c>
      <c r="R14" s="46">
        <v>4200</v>
      </c>
      <c r="S14" s="47"/>
      <c r="T14" s="46"/>
      <c r="AA14" s="49">
        <f t="shared" si="0"/>
        <v>4200</v>
      </c>
    </row>
    <row r="15" spans="1:27" ht="15">
      <c r="A15" s="2">
        <v>2014</v>
      </c>
      <c r="B15" s="16">
        <f aca="true" t="shared" si="8" ref="B15:B46">B14*(1+$G$11)</f>
        <v>1004250</v>
      </c>
      <c r="C15" s="16">
        <f aca="true" t="shared" si="9" ref="C15:C44">C14*(1+$H$4)</f>
        <v>544564.3252527572</v>
      </c>
      <c r="D15" s="16">
        <f aca="true" t="shared" si="10" ref="D15:D46">D14*(1+$H$4)</f>
        <v>459267.15441176476</v>
      </c>
      <c r="E15" s="16">
        <f t="shared" si="5"/>
        <v>1003831.479664522</v>
      </c>
      <c r="F15" s="16">
        <f t="shared" si="6"/>
        <v>418.52033547800966</v>
      </c>
      <c r="G15" s="16">
        <f t="shared" si="7"/>
        <v>418.52033547800966</v>
      </c>
      <c r="I15" s="64" t="s">
        <v>39</v>
      </c>
      <c r="J15" s="100">
        <f t="shared" si="4"/>
        <v>2400</v>
      </c>
      <c r="K15" s="107">
        <f t="shared" si="1"/>
        <v>540000</v>
      </c>
      <c r="L15" s="103" t="s">
        <v>30</v>
      </c>
      <c r="M15" s="92">
        <f t="shared" si="2"/>
        <v>794117.6470588235</v>
      </c>
      <c r="N15" s="92">
        <f t="shared" si="3"/>
      </c>
      <c r="O15" s="111" t="s">
        <v>13</v>
      </c>
      <c r="Q15" s="51" t="s">
        <v>39</v>
      </c>
      <c r="R15" s="46">
        <v>2400</v>
      </c>
      <c r="S15" s="47"/>
      <c r="T15" s="46"/>
      <c r="AA15" s="49">
        <f t="shared" si="0"/>
        <v>2400</v>
      </c>
    </row>
    <row r="16" spans="1:27" ht="15">
      <c r="A16" s="2">
        <v>2015</v>
      </c>
      <c r="B16" s="16">
        <f t="shared" si="8"/>
        <v>1034377.5</v>
      </c>
      <c r="C16" s="16">
        <f t="shared" si="9"/>
        <v>560901.2550103399</v>
      </c>
      <c r="D16" s="16">
        <f t="shared" si="10"/>
        <v>473045.16904411773</v>
      </c>
      <c r="E16" s="16">
        <f t="shared" si="5"/>
        <v>1033946.4240544576</v>
      </c>
      <c r="F16" s="16">
        <f t="shared" si="6"/>
        <v>431.0759455424268</v>
      </c>
      <c r="G16" s="16">
        <f t="shared" si="7"/>
        <v>431.0759455424268</v>
      </c>
      <c r="I16" s="64" t="s">
        <v>40</v>
      </c>
      <c r="J16" s="100">
        <f t="shared" si="4"/>
        <v>849</v>
      </c>
      <c r="K16" s="107">
        <f t="shared" si="1"/>
        <v>191025</v>
      </c>
      <c r="L16" s="103" t="s">
        <v>31</v>
      </c>
      <c r="M16" s="92">
        <f t="shared" si="2"/>
        <v>0</v>
      </c>
      <c r="N16" s="92">
        <f t="shared" si="3"/>
        <v>339209.8345588235</v>
      </c>
      <c r="O16" s="108" t="s">
        <v>31</v>
      </c>
      <c r="Q16" s="51" t="s">
        <v>40</v>
      </c>
      <c r="R16" s="46">
        <v>849</v>
      </c>
      <c r="S16" s="47"/>
      <c r="T16" s="46"/>
      <c r="AA16" s="49">
        <f t="shared" si="0"/>
        <v>849</v>
      </c>
    </row>
    <row r="17" spans="1:27" ht="15">
      <c r="A17" s="2">
        <v>2016</v>
      </c>
      <c r="B17" s="16">
        <f t="shared" si="8"/>
        <v>1065408.825</v>
      </c>
      <c r="C17" s="16">
        <f t="shared" si="9"/>
        <v>577728.2926606501</v>
      </c>
      <c r="D17" s="16">
        <f t="shared" si="10"/>
        <v>487236.52411544125</v>
      </c>
      <c r="E17" s="16">
        <f t="shared" si="5"/>
        <v>1064964.8167760912</v>
      </c>
      <c r="F17" s="16">
        <f t="shared" si="6"/>
        <v>444.00822390872054</v>
      </c>
      <c r="G17" s="16">
        <f t="shared" si="7"/>
        <v>444.00822390872054</v>
      </c>
      <c r="I17" s="64" t="s">
        <v>43</v>
      </c>
      <c r="J17" s="100">
        <f t="shared" si="4"/>
        <v>3000</v>
      </c>
      <c r="K17" s="107">
        <f t="shared" si="1"/>
        <v>675000</v>
      </c>
      <c r="L17" s="103" t="s">
        <v>31</v>
      </c>
      <c r="M17" s="92">
        <f t="shared" si="2"/>
        <v>0</v>
      </c>
      <c r="N17" s="92">
        <f t="shared" si="3"/>
        <v>1198621.3235294118</v>
      </c>
      <c r="O17" s="108" t="s">
        <v>31</v>
      </c>
      <c r="Q17" s="51" t="s">
        <v>43</v>
      </c>
      <c r="R17" s="46">
        <v>3000</v>
      </c>
      <c r="S17" s="47"/>
      <c r="T17" s="46"/>
      <c r="AA17" s="49">
        <f t="shared" si="0"/>
        <v>3000</v>
      </c>
    </row>
    <row r="18" spans="1:27" ht="15">
      <c r="A18" s="2">
        <v>2017</v>
      </c>
      <c r="B18" s="16">
        <f t="shared" si="8"/>
        <v>1097371.08975</v>
      </c>
      <c r="C18" s="16">
        <f t="shared" si="9"/>
        <v>595060.1414404697</v>
      </c>
      <c r="D18" s="16">
        <f t="shared" si="10"/>
        <v>501853.6198389045</v>
      </c>
      <c r="E18" s="16">
        <f t="shared" si="5"/>
        <v>1096913.7612793741</v>
      </c>
      <c r="F18" s="16">
        <f t="shared" si="6"/>
        <v>457.32847062591463</v>
      </c>
      <c r="G18" s="16">
        <f t="shared" si="7"/>
        <v>457.32847062591463</v>
      </c>
      <c r="I18" s="66" t="s">
        <v>26</v>
      </c>
      <c r="J18" s="101">
        <f t="shared" si="4"/>
        <v>0</v>
      </c>
      <c r="K18" s="105">
        <f>IF(J18&gt;0,J18*$K$2,0)</f>
        <v>0</v>
      </c>
      <c r="L18" s="104" t="s">
        <v>26</v>
      </c>
      <c r="M18" s="92">
        <f t="shared" si="2"/>
        <v>0</v>
      </c>
      <c r="N18" s="92">
        <f t="shared" si="3"/>
      </c>
      <c r="O18" s="109"/>
      <c r="Q18" s="47"/>
      <c r="R18" s="46">
        <f>SUM(R3:R17)</f>
        <v>58999</v>
      </c>
      <c r="S18" s="47"/>
      <c r="T18" s="46">
        <f>SUM(T3:T17)</f>
        <v>4280</v>
      </c>
      <c r="U18" s="49"/>
      <c r="V18" s="46">
        <f>SUM(V3:V17)</f>
        <v>2600</v>
      </c>
      <c r="X18" s="46">
        <f>SUM(X3:X17)</f>
        <v>1500</v>
      </c>
      <c r="Z18" s="46">
        <f>SUM(Z3:Z17)</f>
        <v>150</v>
      </c>
      <c r="AA18" s="49">
        <f t="shared" si="0"/>
        <v>67529</v>
      </c>
    </row>
    <row r="19" spans="1:26" ht="15">
      <c r="A19" s="2">
        <v>2018</v>
      </c>
      <c r="B19" s="16">
        <f t="shared" si="8"/>
        <v>1130292.2224425</v>
      </c>
      <c r="C19" s="16">
        <f t="shared" si="9"/>
        <v>612911.9456836837</v>
      </c>
      <c r="D19" s="16">
        <f t="shared" si="10"/>
        <v>516909.22843407164</v>
      </c>
      <c r="E19" s="16">
        <f t="shared" si="5"/>
        <v>1129821.1741177554</v>
      </c>
      <c r="F19" s="16">
        <f t="shared" si="6"/>
        <v>471.04832474468276</v>
      </c>
      <c r="G19" s="16">
        <f t="shared" si="7"/>
        <v>471.04832474468276</v>
      </c>
      <c r="I19" s="61" t="s">
        <v>19</v>
      </c>
      <c r="J19" s="102">
        <f>SUM(J4:J18)</f>
        <v>67379</v>
      </c>
      <c r="K19" s="108"/>
      <c r="M19" s="92">
        <f>SUM(M4:M18)</f>
        <v>11729779.411764706</v>
      </c>
      <c r="N19" s="92">
        <f>SUM(N4:N18)</f>
        <v>10000097.702205883</v>
      </c>
      <c r="Q19" s="47"/>
      <c r="R19" s="47"/>
      <c r="S19" s="47"/>
      <c r="T19" s="47"/>
      <c r="Y19" s="41"/>
      <c r="Z19" s="55"/>
    </row>
    <row r="20" spans="1:26" ht="15">
      <c r="A20" s="2">
        <v>2019</v>
      </c>
      <c r="B20" s="16">
        <f t="shared" si="8"/>
        <v>1164200.989115775</v>
      </c>
      <c r="C20" s="16">
        <f t="shared" si="9"/>
        <v>631299.3040541942</v>
      </c>
      <c r="D20" s="16">
        <f t="shared" si="10"/>
        <v>532416.5052870938</v>
      </c>
      <c r="E20" s="16">
        <f t="shared" si="5"/>
        <v>1163715.8093412882</v>
      </c>
      <c r="F20" s="16">
        <f t="shared" si="6"/>
        <v>485.17977448692545</v>
      </c>
      <c r="G20" s="16">
        <f t="shared" si="7"/>
        <v>485.17977448692545</v>
      </c>
      <c r="I20" s="61" t="s">
        <v>21</v>
      </c>
      <c r="J20" s="116">
        <v>0.68</v>
      </c>
      <c r="K20" s="109"/>
      <c r="M20" s="91"/>
      <c r="N20" s="91"/>
      <c r="Q20" s="47"/>
      <c r="R20" s="47"/>
      <c r="S20" s="47"/>
      <c r="T20" s="46"/>
      <c r="Y20" s="41"/>
      <c r="Z20" s="54"/>
    </row>
    <row r="21" spans="1:20" ht="15">
      <c r="A21" s="2">
        <v>2020</v>
      </c>
      <c r="B21" s="16">
        <f t="shared" si="8"/>
        <v>1199127.0187892483</v>
      </c>
      <c r="C21" s="16">
        <f t="shared" si="9"/>
        <v>650238.2831758201</v>
      </c>
      <c r="D21" s="16">
        <f t="shared" si="10"/>
        <v>548389.0004457067</v>
      </c>
      <c r="E21" s="16">
        <f t="shared" si="5"/>
        <v>1198627.2836215268</v>
      </c>
      <c r="F21" s="16">
        <f t="shared" si="6"/>
        <v>499.73516772151925</v>
      </c>
      <c r="G21" s="16">
        <f t="shared" si="7"/>
        <v>499.73516772151925</v>
      </c>
      <c r="I21" s="61" t="s">
        <v>20</v>
      </c>
      <c r="J21" s="39">
        <f>J19/J20</f>
        <v>99086.76470588235</v>
      </c>
      <c r="K21" s="105">
        <f>IF(J21&gt;0,J21*$K$2,0)</f>
        <v>22294522.05882353</v>
      </c>
      <c r="M21" s="12"/>
      <c r="N21" s="12"/>
      <c r="Q21" s="47"/>
      <c r="R21" s="47"/>
      <c r="S21" s="47"/>
      <c r="T21" s="47"/>
    </row>
    <row r="22" spans="1:20" ht="15">
      <c r="A22" s="2">
        <v>2021</v>
      </c>
      <c r="B22" s="16">
        <f t="shared" si="8"/>
        <v>1235100.8293529258</v>
      </c>
      <c r="C22" s="16">
        <f t="shared" si="9"/>
        <v>669745.4316710947</v>
      </c>
      <c r="D22" s="16">
        <f t="shared" si="10"/>
        <v>564840.6704590778</v>
      </c>
      <c r="E22" s="16">
        <f t="shared" si="5"/>
        <v>1234586.1021301725</v>
      </c>
      <c r="F22" s="16">
        <f t="shared" si="6"/>
        <v>514.727222753223</v>
      </c>
      <c r="G22" s="16">
        <f t="shared" si="7"/>
        <v>514.727222753223</v>
      </c>
      <c r="K22" s="69"/>
      <c r="T22" s="45"/>
    </row>
    <row r="23" spans="1:7" ht="15">
      <c r="A23" s="2">
        <v>2022</v>
      </c>
      <c r="B23" s="16">
        <f t="shared" si="8"/>
        <v>1272153.8542335136</v>
      </c>
      <c r="C23" s="16">
        <f t="shared" si="9"/>
        <v>689837.7946212275</v>
      </c>
      <c r="D23" s="16">
        <f t="shared" si="10"/>
        <v>581785.8905728501</v>
      </c>
      <c r="E23" s="16">
        <f t="shared" si="5"/>
        <v>1271623.6851940777</v>
      </c>
      <c r="F23" s="16">
        <f t="shared" si="6"/>
        <v>530.1690394359175</v>
      </c>
      <c r="G23" s="16">
        <f t="shared" si="7"/>
        <v>530.1690394359175</v>
      </c>
    </row>
    <row r="24" spans="1:10" ht="15">
      <c r="A24" s="2">
        <v>2023</v>
      </c>
      <c r="B24" s="16">
        <f t="shared" si="8"/>
        <v>1310318.469860519</v>
      </c>
      <c r="C24" s="16">
        <f t="shared" si="9"/>
        <v>710532.9284598643</v>
      </c>
      <c r="D24" s="16">
        <f t="shared" si="10"/>
        <v>599239.4672900357</v>
      </c>
      <c r="E24" s="16">
        <f t="shared" si="5"/>
        <v>1309772.3957499</v>
      </c>
      <c r="F24" s="16">
        <f t="shared" si="6"/>
        <v>546.0741106190253</v>
      </c>
      <c r="G24" s="16">
        <f t="shared" si="7"/>
        <v>546.0741106190253</v>
      </c>
      <c r="J24" s="25"/>
    </row>
    <row r="25" spans="1:7" ht="15">
      <c r="A25" s="2">
        <v>2024</v>
      </c>
      <c r="B25" s="16">
        <f t="shared" si="8"/>
        <v>1349628.0239563347</v>
      </c>
      <c r="C25" s="16">
        <f t="shared" si="9"/>
        <v>731848.9163136603</v>
      </c>
      <c r="D25" s="16">
        <f t="shared" si="10"/>
        <v>617216.6513087368</v>
      </c>
      <c r="E25" s="16">
        <f t="shared" si="5"/>
        <v>1349065.567622397</v>
      </c>
      <c r="F25" s="16">
        <f t="shared" si="6"/>
        <v>562.4563339375891</v>
      </c>
      <c r="G25" s="16">
        <f t="shared" si="7"/>
        <v>562.4563339375891</v>
      </c>
    </row>
    <row r="26" spans="1:9" ht="15">
      <c r="A26" s="2">
        <v>2025</v>
      </c>
      <c r="B26" s="16">
        <f t="shared" si="8"/>
        <v>1390116.8646750248</v>
      </c>
      <c r="C26" s="16">
        <f t="shared" si="9"/>
        <v>753804.3838030702</v>
      </c>
      <c r="D26" s="16">
        <f t="shared" si="10"/>
        <v>635733.1508479989</v>
      </c>
      <c r="E26" s="16">
        <f t="shared" si="5"/>
        <v>1389537.534651069</v>
      </c>
      <c r="F26" s="16">
        <f t="shared" si="6"/>
        <v>579.3300239557866</v>
      </c>
      <c r="G26" s="16">
        <f t="shared" si="7"/>
        <v>579.3300239557866</v>
      </c>
      <c r="I26" s="119" t="s">
        <v>14</v>
      </c>
    </row>
    <row r="27" spans="1:9" ht="15">
      <c r="A27" s="2">
        <v>2026</v>
      </c>
      <c r="B27" s="16">
        <f t="shared" si="8"/>
        <v>1431820.3706152756</v>
      </c>
      <c r="C27" s="16">
        <f t="shared" si="9"/>
        <v>776418.5153171623</v>
      </c>
      <c r="D27" s="16">
        <f t="shared" si="10"/>
        <v>654805.145373439</v>
      </c>
      <c r="E27" s="16">
        <f t="shared" si="5"/>
        <v>1431223.6606906012</v>
      </c>
      <c r="F27" s="16">
        <f t="shared" si="6"/>
        <v>596.7099246743601</v>
      </c>
      <c r="G27" s="16">
        <f t="shared" si="7"/>
        <v>596.7099246743601</v>
      </c>
      <c r="I27" s="120" t="s">
        <v>15</v>
      </c>
    </row>
    <row r="28" spans="1:20" ht="15">
      <c r="A28" s="2">
        <v>2027</v>
      </c>
      <c r="B28" s="16">
        <f t="shared" si="8"/>
        <v>1474774.9817337338</v>
      </c>
      <c r="C28" s="16">
        <f t="shared" si="9"/>
        <v>799711.0707766771</v>
      </c>
      <c r="D28" s="16">
        <f t="shared" si="10"/>
        <v>674449.2997346421</v>
      </c>
      <c r="E28" s="16">
        <f t="shared" si="5"/>
        <v>1474160.3705113193</v>
      </c>
      <c r="F28" s="16">
        <f t="shared" si="6"/>
        <v>614.6112224145327</v>
      </c>
      <c r="G28" s="16">
        <f t="shared" si="7"/>
        <v>614.6112224145327</v>
      </c>
      <c r="I28" s="120" t="s">
        <v>16</v>
      </c>
      <c r="T28" s="45"/>
    </row>
    <row r="29" spans="1:20" ht="15">
      <c r="A29" s="2">
        <v>2028</v>
      </c>
      <c r="B29" s="16">
        <f t="shared" si="8"/>
        <v>1519018.231185746</v>
      </c>
      <c r="C29" s="16">
        <f t="shared" si="9"/>
        <v>823702.4028999774</v>
      </c>
      <c r="D29" s="16">
        <f t="shared" si="10"/>
        <v>694682.7787266815</v>
      </c>
      <c r="E29" s="16">
        <f t="shared" si="5"/>
        <v>1518385.181626659</v>
      </c>
      <c r="F29" s="16">
        <f t="shared" si="6"/>
        <v>633.0495590870269</v>
      </c>
      <c r="G29" s="16">
        <f t="shared" si="7"/>
        <v>633.0495590870269</v>
      </c>
      <c r="I29" s="120" t="s">
        <v>22</v>
      </c>
      <c r="T29" s="45"/>
    </row>
    <row r="30" spans="1:20" ht="15">
      <c r="A30" s="2">
        <v>2029</v>
      </c>
      <c r="B30" s="16">
        <f t="shared" si="8"/>
        <v>1564588.7781213184</v>
      </c>
      <c r="C30" s="16">
        <f t="shared" si="9"/>
        <v>848413.4749869767</v>
      </c>
      <c r="D30" s="16">
        <f t="shared" si="10"/>
        <v>715523.2620884819</v>
      </c>
      <c r="E30" s="16">
        <f t="shared" si="5"/>
        <v>1563936.7370754587</v>
      </c>
      <c r="F30" s="16">
        <f t="shared" si="6"/>
        <v>652.0410458596889</v>
      </c>
      <c r="G30" s="16">
        <f t="shared" si="7"/>
        <v>652.0410458596889</v>
      </c>
      <c r="I30" s="120" t="s">
        <v>23</v>
      </c>
      <c r="T30" s="45"/>
    </row>
    <row r="31" spans="1:7" ht="15">
      <c r="A31" s="2">
        <v>2030</v>
      </c>
      <c r="B31" s="16">
        <f t="shared" si="8"/>
        <v>1611526.441464958</v>
      </c>
      <c r="C31" s="16">
        <f t="shared" si="9"/>
        <v>873865.879236586</v>
      </c>
      <c r="D31" s="16">
        <f t="shared" si="10"/>
        <v>736988.9599511364</v>
      </c>
      <c r="E31" s="16">
        <f t="shared" si="5"/>
        <v>1610854.8391877224</v>
      </c>
      <c r="F31" s="16">
        <f t="shared" si="6"/>
        <v>671.6022772355936</v>
      </c>
      <c r="G31" s="16">
        <f t="shared" si="7"/>
        <v>671.6022772355936</v>
      </c>
    </row>
    <row r="32" spans="1:7" ht="15">
      <c r="A32" s="2">
        <v>2031</v>
      </c>
      <c r="B32" s="16">
        <f t="shared" si="8"/>
        <v>1659872.2347089068</v>
      </c>
      <c r="C32" s="16">
        <f t="shared" si="9"/>
        <v>900081.8556136837</v>
      </c>
      <c r="D32" s="16">
        <f t="shared" si="10"/>
        <v>759098.6287496705</v>
      </c>
      <c r="E32" s="16">
        <f t="shared" si="5"/>
        <v>1659180.4843633543</v>
      </c>
      <c r="F32" s="16">
        <f t="shared" si="6"/>
        <v>691.750345552573</v>
      </c>
      <c r="G32" s="16">
        <f t="shared" si="7"/>
        <v>691.750345552573</v>
      </c>
    </row>
    <row r="33" spans="1:7" ht="15">
      <c r="A33" s="2">
        <v>2032</v>
      </c>
      <c r="B33" s="16">
        <f t="shared" si="8"/>
        <v>1709668.4017501741</v>
      </c>
      <c r="C33" s="16">
        <f t="shared" si="9"/>
        <v>927084.3112820942</v>
      </c>
      <c r="D33" s="16">
        <f t="shared" si="10"/>
        <v>781871.5876121606</v>
      </c>
      <c r="E33" s="16">
        <f t="shared" si="5"/>
        <v>1708955.8988942548</v>
      </c>
      <c r="F33" s="16">
        <f t="shared" si="6"/>
        <v>712.5028559193015</v>
      </c>
      <c r="G33" s="16">
        <f t="shared" si="7"/>
        <v>712.5028559193015</v>
      </c>
    </row>
    <row r="34" spans="1:20" ht="15">
      <c r="A34" s="2">
        <v>2033</v>
      </c>
      <c r="B34" s="16">
        <f t="shared" si="8"/>
        <v>1760958.4538026794</v>
      </c>
      <c r="C34" s="16">
        <f t="shared" si="9"/>
        <v>954896.8406205571</v>
      </c>
      <c r="D34" s="16">
        <f t="shared" si="10"/>
        <v>805327.7352405254</v>
      </c>
      <c r="E34" s="16">
        <f t="shared" si="5"/>
        <v>1760224.5758610824</v>
      </c>
      <c r="F34" s="16">
        <f t="shared" si="6"/>
        <v>733.8779415970203</v>
      </c>
      <c r="G34" s="16">
        <f t="shared" si="7"/>
        <v>733.8779415970203</v>
      </c>
      <c r="T34" s="45"/>
    </row>
    <row r="35" spans="1:20" ht="15">
      <c r="A35" s="2">
        <v>2034</v>
      </c>
      <c r="B35" s="16">
        <f t="shared" si="8"/>
        <v>1813787.2074167598</v>
      </c>
      <c r="C35" s="16">
        <f t="shared" si="9"/>
        <v>983543.7458391738</v>
      </c>
      <c r="D35" s="16">
        <f t="shared" si="10"/>
        <v>829487.5672977412</v>
      </c>
      <c r="E35" s="16">
        <f t="shared" si="5"/>
        <v>1813031.313136915</v>
      </c>
      <c r="F35" s="16">
        <f t="shared" si="6"/>
        <v>755.8942798448261</v>
      </c>
      <c r="G35" s="16">
        <f t="shared" si="7"/>
        <v>755.8942798448261</v>
      </c>
      <c r="T35" s="45"/>
    </row>
    <row r="36" spans="1:20" ht="15">
      <c r="A36" s="2">
        <v>2035</v>
      </c>
      <c r="B36" s="16">
        <f t="shared" si="8"/>
        <v>1868200.8236392627</v>
      </c>
      <c r="C36" s="16">
        <f t="shared" si="9"/>
        <v>1013050.058214349</v>
      </c>
      <c r="D36" s="16">
        <f t="shared" si="10"/>
        <v>854372.1943166734</v>
      </c>
      <c r="E36" s="16">
        <f t="shared" si="5"/>
        <v>1867422.2525310223</v>
      </c>
      <c r="F36" s="16">
        <f t="shared" si="6"/>
        <v>778.5711082404014</v>
      </c>
      <c r="G36" s="16">
        <f t="shared" si="7"/>
        <v>778.5711082404014</v>
      </c>
      <c r="T36" s="45"/>
    </row>
    <row r="37" spans="1:7" ht="15">
      <c r="A37" s="2">
        <v>2036</v>
      </c>
      <c r="B37" s="16">
        <f t="shared" si="8"/>
        <v>1924246.8483484406</v>
      </c>
      <c r="C37" s="16">
        <f t="shared" si="9"/>
        <v>1043441.5599607795</v>
      </c>
      <c r="D37" s="16">
        <f t="shared" si="10"/>
        <v>880003.3601461736</v>
      </c>
      <c r="E37" s="16">
        <f t="shared" si="5"/>
        <v>1923444.920106953</v>
      </c>
      <c r="F37" s="16">
        <f t="shared" si="6"/>
        <v>801.9282414875925</v>
      </c>
      <c r="G37" s="16">
        <f t="shared" si="7"/>
        <v>801.9282414875925</v>
      </c>
    </row>
    <row r="38" spans="1:7" ht="15">
      <c r="A38" s="2">
        <v>2037</v>
      </c>
      <c r="B38" s="16">
        <f t="shared" si="8"/>
        <v>1981974.253798894</v>
      </c>
      <c r="C38" s="16">
        <f t="shared" si="9"/>
        <v>1074744.8067596029</v>
      </c>
      <c r="D38" s="16">
        <f t="shared" si="10"/>
        <v>906403.4609505589</v>
      </c>
      <c r="E38" s="16">
        <f t="shared" si="5"/>
        <v>1981148.2677101619</v>
      </c>
      <c r="F38" s="16">
        <f t="shared" si="6"/>
        <v>825.9860887320247</v>
      </c>
      <c r="G38" s="16">
        <f t="shared" si="7"/>
        <v>825.9860887320247</v>
      </c>
    </row>
    <row r="39" spans="1:7" ht="15">
      <c r="A39" s="2">
        <v>2038</v>
      </c>
      <c r="B39" s="16">
        <f t="shared" si="8"/>
        <v>2041433.4814128608</v>
      </c>
      <c r="C39" s="16">
        <f t="shared" si="9"/>
        <v>1106987.150962391</v>
      </c>
      <c r="D39" s="16">
        <f t="shared" si="10"/>
        <v>933595.5647790757</v>
      </c>
      <c r="E39" s="16">
        <f t="shared" si="5"/>
        <v>2040582.7157414667</v>
      </c>
      <c r="F39" s="16">
        <f t="shared" si="6"/>
        <v>850.7656713940669</v>
      </c>
      <c r="G39" s="16">
        <f t="shared" si="7"/>
        <v>850.7656713940669</v>
      </c>
    </row>
    <row r="40" spans="1:7" ht="15">
      <c r="A40" s="2">
        <v>2039</v>
      </c>
      <c r="B40" s="16">
        <f t="shared" si="8"/>
        <v>2102676.485855247</v>
      </c>
      <c r="C40" s="16">
        <f t="shared" si="9"/>
        <v>1140196.7654912628</v>
      </c>
      <c r="D40" s="16">
        <f t="shared" si="10"/>
        <v>961603.431722448</v>
      </c>
      <c r="E40" s="16">
        <f t="shared" si="5"/>
        <v>2101800.1972137108</v>
      </c>
      <c r="F40" s="16">
        <f t="shared" si="6"/>
        <v>876.2886415361427</v>
      </c>
      <c r="G40" s="16">
        <f t="shared" si="7"/>
        <v>876.2886415361427</v>
      </c>
    </row>
    <row r="41" spans="1:7" ht="15">
      <c r="A41" s="2">
        <v>2040</v>
      </c>
      <c r="B41" s="16">
        <f t="shared" si="8"/>
        <v>2165756.7804309046</v>
      </c>
      <c r="C41" s="16">
        <f t="shared" si="9"/>
        <v>1174402.6684560007</v>
      </c>
      <c r="D41" s="16">
        <f t="shared" si="10"/>
        <v>990451.5346741214</v>
      </c>
      <c r="E41" s="16">
        <f t="shared" si="5"/>
        <v>2164854.2031301223</v>
      </c>
      <c r="F41" s="16">
        <f t="shared" si="6"/>
        <v>902.5773007823154</v>
      </c>
      <c r="G41" s="16">
        <f t="shared" si="7"/>
        <v>902.5773007823154</v>
      </c>
    </row>
    <row r="42" spans="1:7" ht="15">
      <c r="A42" s="2">
        <v>2041</v>
      </c>
      <c r="B42" s="16">
        <f t="shared" si="8"/>
        <v>2230729.483843832</v>
      </c>
      <c r="C42" s="16">
        <f t="shared" si="9"/>
        <v>1209634.7485096809</v>
      </c>
      <c r="D42" s="16">
        <f t="shared" si="10"/>
        <v>1020165.0807143451</v>
      </c>
      <c r="E42" s="16">
        <f t="shared" si="5"/>
        <v>2229799.829224026</v>
      </c>
      <c r="F42" s="16">
        <f t="shared" si="6"/>
        <v>929.6546198059805</v>
      </c>
      <c r="G42" s="16">
        <f t="shared" si="7"/>
        <v>929.6546198059805</v>
      </c>
    </row>
    <row r="43" spans="1:9" ht="15">
      <c r="A43" s="2">
        <v>2042</v>
      </c>
      <c r="B43" s="16">
        <f t="shared" si="8"/>
        <v>2297651.3683591466</v>
      </c>
      <c r="C43" s="16">
        <f t="shared" si="9"/>
        <v>1245923.7909649713</v>
      </c>
      <c r="D43" s="16">
        <f t="shared" si="10"/>
        <v>1050770.0331357755</v>
      </c>
      <c r="E43" s="16">
        <f t="shared" si="5"/>
        <v>2296693.824100747</v>
      </c>
      <c r="F43" s="16">
        <f t="shared" si="6"/>
        <v>957.5442583998665</v>
      </c>
      <c r="G43" s="16">
        <f t="shared" si="7"/>
        <v>957.5442583998665</v>
      </c>
      <c r="I43" s="67"/>
    </row>
    <row r="44" spans="1:9" ht="15">
      <c r="A44" s="2">
        <v>2043</v>
      </c>
      <c r="B44" s="16">
        <f t="shared" si="8"/>
        <v>2366580.909409921</v>
      </c>
      <c r="C44" s="16">
        <f t="shared" si="9"/>
        <v>1283301.5046939205</v>
      </c>
      <c r="D44" s="16">
        <f t="shared" si="10"/>
        <v>1082293.1341298488</v>
      </c>
      <c r="E44" s="16">
        <f t="shared" si="5"/>
        <v>2365594.638823769</v>
      </c>
      <c r="F44" s="16">
        <f t="shared" si="6"/>
        <v>986.2705861520953</v>
      </c>
      <c r="G44" s="16">
        <f t="shared" si="7"/>
        <v>986.2705861520953</v>
      </c>
      <c r="I44" s="67"/>
    </row>
    <row r="45" spans="1:7" ht="15">
      <c r="A45" s="2">
        <v>2044</v>
      </c>
      <c r="B45" s="16">
        <f t="shared" si="8"/>
        <v>2437578.3366922187</v>
      </c>
      <c r="C45" s="16">
        <v>0</v>
      </c>
      <c r="D45" s="16">
        <f t="shared" si="10"/>
        <v>1114761.9281537442</v>
      </c>
      <c r="E45" s="16">
        <f t="shared" si="5"/>
        <v>1114761.9281537442</v>
      </c>
      <c r="F45" s="16">
        <f t="shared" si="6"/>
        <v>1322816.4085384745</v>
      </c>
      <c r="G45" s="16">
        <f t="shared" si="7"/>
        <v>1322816.4085384745</v>
      </c>
    </row>
    <row r="46" spans="1:7" ht="15">
      <c r="A46" s="2">
        <v>2045</v>
      </c>
      <c r="B46" s="16">
        <f t="shared" si="8"/>
        <v>2510705.686792985</v>
      </c>
      <c r="C46" s="16">
        <v>0</v>
      </c>
      <c r="D46" s="16">
        <f t="shared" si="10"/>
        <v>1148204.7859983565</v>
      </c>
      <c r="E46" s="16">
        <f aca="true" t="shared" si="11" ref="E46:E63">C46+D46</f>
        <v>1148204.7859983565</v>
      </c>
      <c r="F46" s="16">
        <f aca="true" t="shared" si="12" ref="F46:F63">B46-E46</f>
        <v>1362500.9007946285</v>
      </c>
      <c r="G46" s="16">
        <f aca="true" t="shared" si="13" ref="G46:G63">F46</f>
        <v>1362500.9007946285</v>
      </c>
    </row>
    <row r="47" spans="1:7" ht="15">
      <c r="A47" s="2">
        <v>2046</v>
      </c>
      <c r="B47" s="16">
        <f aca="true" t="shared" si="14" ref="B47:B63">B46*(1+$G$11)</f>
        <v>2586026.8573967745</v>
      </c>
      <c r="C47" s="16">
        <v>0</v>
      </c>
      <c r="D47" s="16">
        <f aca="true" t="shared" si="15" ref="D47:D63">D46*(1+$H$4)</f>
        <v>1182650.9295783073</v>
      </c>
      <c r="E47" s="16">
        <f t="shared" si="11"/>
        <v>1182650.9295783073</v>
      </c>
      <c r="F47" s="16">
        <f t="shared" si="12"/>
        <v>1403375.9278184671</v>
      </c>
      <c r="G47" s="16">
        <f t="shared" si="13"/>
        <v>1403375.9278184671</v>
      </c>
    </row>
    <row r="48" spans="1:7" ht="15">
      <c r="A48" s="2">
        <v>2047</v>
      </c>
      <c r="B48" s="16">
        <f t="shared" si="14"/>
        <v>2663607.6631186777</v>
      </c>
      <c r="C48" s="16">
        <v>0</v>
      </c>
      <c r="D48" s="16">
        <f t="shared" si="15"/>
        <v>1218130.4574656566</v>
      </c>
      <c r="E48" s="16">
        <f t="shared" si="11"/>
        <v>1218130.4574656566</v>
      </c>
      <c r="F48" s="16">
        <f t="shared" si="12"/>
        <v>1445477.205653021</v>
      </c>
      <c r="G48" s="16">
        <f t="shared" si="13"/>
        <v>1445477.205653021</v>
      </c>
    </row>
    <row r="49" spans="1:7" ht="15">
      <c r="A49" s="2">
        <v>2048</v>
      </c>
      <c r="B49" s="16">
        <f t="shared" si="14"/>
        <v>2743515.893012238</v>
      </c>
      <c r="C49" s="16">
        <v>0</v>
      </c>
      <c r="D49" s="16">
        <f t="shared" si="15"/>
        <v>1254674.3711896264</v>
      </c>
      <c r="E49" s="16">
        <f t="shared" si="11"/>
        <v>1254674.3711896264</v>
      </c>
      <c r="F49" s="16">
        <f t="shared" si="12"/>
        <v>1488841.5218226118</v>
      </c>
      <c r="G49" s="16">
        <f t="shared" si="13"/>
        <v>1488841.5218226118</v>
      </c>
    </row>
    <row r="50" spans="1:7" ht="15">
      <c r="A50" s="2">
        <v>2049</v>
      </c>
      <c r="B50" s="16">
        <f t="shared" si="14"/>
        <v>2825821.3698026054</v>
      </c>
      <c r="C50" s="16">
        <v>0</v>
      </c>
      <c r="D50" s="16">
        <f t="shared" si="15"/>
        <v>1292314.6023253151</v>
      </c>
      <c r="E50" s="16">
        <f t="shared" si="11"/>
        <v>1292314.6023253151</v>
      </c>
      <c r="F50" s="16">
        <f t="shared" si="12"/>
        <v>1533506.7674772902</v>
      </c>
      <c r="G50" s="16">
        <f t="shared" si="13"/>
        <v>1533506.7674772902</v>
      </c>
    </row>
    <row r="51" spans="1:7" ht="15">
      <c r="A51" s="2">
        <v>2050</v>
      </c>
      <c r="B51" s="16">
        <f t="shared" si="14"/>
        <v>2910596.0108966837</v>
      </c>
      <c r="C51" s="16">
        <f aca="true" t="shared" si="16" ref="C51:C63">C50*(1+$H$4)</f>
        <v>0</v>
      </c>
      <c r="D51" s="16">
        <f t="shared" si="15"/>
        <v>1331084.0403950745</v>
      </c>
      <c r="E51" s="16">
        <f t="shared" si="11"/>
        <v>1331084.0403950745</v>
      </c>
      <c r="F51" s="16">
        <f t="shared" si="12"/>
        <v>1579511.9705016091</v>
      </c>
      <c r="G51" s="16">
        <f t="shared" si="13"/>
        <v>1579511.9705016091</v>
      </c>
    </row>
    <row r="52" spans="1:7" ht="15">
      <c r="A52" s="2">
        <v>2051</v>
      </c>
      <c r="B52" s="16">
        <f t="shared" si="14"/>
        <v>2997913.8912235843</v>
      </c>
      <c r="C52" s="16">
        <f t="shared" si="16"/>
        <v>0</v>
      </c>
      <c r="D52" s="16">
        <f t="shared" si="15"/>
        <v>1371016.5616069268</v>
      </c>
      <c r="E52" s="16">
        <f t="shared" si="11"/>
        <v>1371016.5616069268</v>
      </c>
      <c r="F52" s="16">
        <f t="shared" si="12"/>
        <v>1626897.3296166575</v>
      </c>
      <c r="G52" s="16">
        <f t="shared" si="13"/>
        <v>1626897.3296166575</v>
      </c>
    </row>
    <row r="53" spans="1:7" ht="15">
      <c r="A53" s="2">
        <v>2052</v>
      </c>
      <c r="B53" s="16">
        <f t="shared" si="14"/>
        <v>3087851.307960292</v>
      </c>
      <c r="C53" s="16">
        <f t="shared" si="16"/>
        <v>0</v>
      </c>
      <c r="D53" s="16">
        <f t="shared" si="15"/>
        <v>1412147.0584551347</v>
      </c>
      <c r="E53" s="16">
        <f t="shared" si="11"/>
        <v>1412147.0584551347</v>
      </c>
      <c r="F53" s="16">
        <f t="shared" si="12"/>
        <v>1675704.2495051571</v>
      </c>
      <c r="G53" s="16">
        <f t="shared" si="13"/>
        <v>1675704.2495051571</v>
      </c>
    </row>
    <row r="54" spans="1:7" ht="15">
      <c r="A54" s="2">
        <v>2053</v>
      </c>
      <c r="B54" s="16">
        <f t="shared" si="14"/>
        <v>3180486.8471991005</v>
      </c>
      <c r="C54" s="16">
        <f t="shared" si="16"/>
        <v>0</v>
      </c>
      <c r="D54" s="16">
        <f t="shared" si="15"/>
        <v>1454511.4702087888</v>
      </c>
      <c r="E54" s="16">
        <f t="shared" si="11"/>
        <v>1454511.4702087888</v>
      </c>
      <c r="F54" s="16">
        <f t="shared" si="12"/>
        <v>1725975.3769903118</v>
      </c>
      <c r="G54" s="16">
        <f t="shared" si="13"/>
        <v>1725975.3769903118</v>
      </c>
    </row>
    <row r="55" spans="1:7" ht="15">
      <c r="A55" s="2">
        <v>2054</v>
      </c>
      <c r="B55" s="16">
        <f t="shared" si="14"/>
        <v>3275901.4526150734</v>
      </c>
      <c r="C55" s="16">
        <f t="shared" si="16"/>
        <v>0</v>
      </c>
      <c r="D55" s="16">
        <f t="shared" si="15"/>
        <v>1498146.8143150525</v>
      </c>
      <c r="E55" s="16">
        <f t="shared" si="11"/>
        <v>1498146.8143150525</v>
      </c>
      <c r="F55" s="16">
        <f t="shared" si="12"/>
        <v>1777754.638300021</v>
      </c>
      <c r="G55" s="16">
        <f t="shared" si="13"/>
        <v>1777754.638300021</v>
      </c>
    </row>
    <row r="56" spans="1:7" ht="15">
      <c r="A56" s="2">
        <v>2055</v>
      </c>
      <c r="B56" s="16">
        <f t="shared" si="14"/>
        <v>3374178.496193526</v>
      </c>
      <c r="C56" s="16">
        <f t="shared" si="16"/>
        <v>0</v>
      </c>
      <c r="D56" s="16">
        <f t="shared" si="15"/>
        <v>1543091.218744504</v>
      </c>
      <c r="E56" s="16">
        <f t="shared" si="11"/>
        <v>1543091.218744504</v>
      </c>
      <c r="F56" s="16">
        <f t="shared" si="12"/>
        <v>1831087.2774490218</v>
      </c>
      <c r="G56" s="16">
        <f t="shared" si="13"/>
        <v>1831087.2774490218</v>
      </c>
    </row>
    <row r="57" spans="1:7" ht="15">
      <c r="A57" s="2">
        <v>2056</v>
      </c>
      <c r="B57" s="16">
        <f t="shared" si="14"/>
        <v>3475403.8510793317</v>
      </c>
      <c r="C57" s="16">
        <f t="shared" si="16"/>
        <v>0</v>
      </c>
      <c r="D57" s="16">
        <f t="shared" si="15"/>
        <v>1589383.9553068392</v>
      </c>
      <c r="E57" s="16">
        <f t="shared" si="11"/>
        <v>1589383.9553068392</v>
      </c>
      <c r="F57" s="16">
        <f t="shared" si="12"/>
        <v>1886019.8957724925</v>
      </c>
      <c r="G57" s="16">
        <f t="shared" si="13"/>
        <v>1886019.8957724925</v>
      </c>
    </row>
    <row r="58" spans="1:7" ht="15">
      <c r="A58" s="2">
        <v>2057</v>
      </c>
      <c r="B58" s="16">
        <f t="shared" si="14"/>
        <v>3579665.966611712</v>
      </c>
      <c r="C58" s="16">
        <f t="shared" si="16"/>
        <v>0</v>
      </c>
      <c r="D58" s="16">
        <f t="shared" si="15"/>
        <v>1637065.4739660444</v>
      </c>
      <c r="E58" s="16">
        <f t="shared" si="11"/>
        <v>1637065.4739660444</v>
      </c>
      <c r="F58" s="16">
        <f t="shared" si="12"/>
        <v>1942600.4926456674</v>
      </c>
      <c r="G58" s="16">
        <f t="shared" si="13"/>
        <v>1942600.4926456674</v>
      </c>
    </row>
    <row r="59" spans="1:7" ht="15">
      <c r="A59" s="2">
        <v>2058</v>
      </c>
      <c r="B59" s="16">
        <f t="shared" si="14"/>
        <v>3687055.945610063</v>
      </c>
      <c r="C59" s="16">
        <f t="shared" si="16"/>
        <v>0</v>
      </c>
      <c r="D59" s="16">
        <f t="shared" si="15"/>
        <v>1686177.4381850257</v>
      </c>
      <c r="E59" s="16">
        <f t="shared" si="11"/>
        <v>1686177.4381850257</v>
      </c>
      <c r="F59" s="16">
        <f t="shared" si="12"/>
        <v>2000878.5074250374</v>
      </c>
      <c r="G59" s="16">
        <f t="shared" si="13"/>
        <v>2000878.5074250374</v>
      </c>
    </row>
    <row r="60" spans="1:7" ht="15">
      <c r="A60" s="2">
        <v>2059</v>
      </c>
      <c r="B60" s="16">
        <f t="shared" si="14"/>
        <v>3797667.623978365</v>
      </c>
      <c r="C60" s="16">
        <f t="shared" si="16"/>
        <v>0</v>
      </c>
      <c r="D60" s="16">
        <f t="shared" si="15"/>
        <v>1736762.7613305766</v>
      </c>
      <c r="E60" s="16">
        <f t="shared" si="11"/>
        <v>1736762.7613305766</v>
      </c>
      <c r="F60" s="16">
        <f t="shared" si="12"/>
        <v>2060904.8626477886</v>
      </c>
      <c r="G60" s="16">
        <f t="shared" si="13"/>
        <v>2060904.8626477886</v>
      </c>
    </row>
    <row r="61" spans="1:7" ht="15">
      <c r="A61" s="2">
        <v>2060</v>
      </c>
      <c r="B61" s="16">
        <f t="shared" si="14"/>
        <v>3911597.6526977164</v>
      </c>
      <c r="C61" s="16">
        <f t="shared" si="16"/>
        <v>0</v>
      </c>
      <c r="D61" s="16">
        <f t="shared" si="15"/>
        <v>1788865.644170494</v>
      </c>
      <c r="E61" s="16">
        <f t="shared" si="11"/>
        <v>1788865.644170494</v>
      </c>
      <c r="F61" s="16">
        <f t="shared" si="12"/>
        <v>2122732.008527222</v>
      </c>
      <c r="G61" s="16">
        <f t="shared" si="13"/>
        <v>2122732.008527222</v>
      </c>
    </row>
    <row r="62" spans="1:7" ht="15">
      <c r="A62" s="2">
        <v>2061</v>
      </c>
      <c r="B62" s="16">
        <f t="shared" si="14"/>
        <v>4028945.582278648</v>
      </c>
      <c r="C62" s="16">
        <f t="shared" si="16"/>
        <v>0</v>
      </c>
      <c r="D62" s="16">
        <f t="shared" si="15"/>
        <v>1842531.613495609</v>
      </c>
      <c r="E62" s="16">
        <f t="shared" si="11"/>
        <v>1842531.613495609</v>
      </c>
      <c r="F62" s="16">
        <f t="shared" si="12"/>
        <v>2186413.9687830387</v>
      </c>
      <c r="G62" s="16">
        <f t="shared" si="13"/>
        <v>2186413.9687830387</v>
      </c>
    </row>
    <row r="63" spans="1:7" ht="15">
      <c r="A63" s="2">
        <v>2062</v>
      </c>
      <c r="B63" s="16">
        <f t="shared" si="14"/>
        <v>4149813.9497470073</v>
      </c>
      <c r="C63" s="16">
        <f t="shared" si="16"/>
        <v>0</v>
      </c>
      <c r="D63" s="16">
        <f t="shared" si="15"/>
        <v>1897807.5619004774</v>
      </c>
      <c r="E63" s="16">
        <f t="shared" si="11"/>
        <v>1897807.5619004774</v>
      </c>
      <c r="F63" s="16">
        <f t="shared" si="12"/>
        <v>2252006.38784653</v>
      </c>
      <c r="G63" s="16">
        <f t="shared" si="13"/>
        <v>2252006.38784653</v>
      </c>
    </row>
    <row r="64" ht="15">
      <c r="A64" s="2"/>
    </row>
    <row r="65" ht="15"/>
  </sheetData>
  <sheetProtection/>
  <mergeCells count="3">
    <mergeCell ref="I1:L1"/>
    <mergeCell ref="A2:D2"/>
    <mergeCell ref="A1:G1"/>
  </mergeCells>
  <dataValidations count="2">
    <dataValidation type="list" showInputMessage="1" showErrorMessage="1" sqref="I4:I18">
      <formula1>$Q$2:$Q$17</formula1>
    </dataValidation>
    <dataValidation type="list" allowBlank="1" showInputMessage="1" showErrorMessage="1" sqref="L4:L18">
      <formula1>$AB$2:$AB$4</formula1>
    </dataValidation>
  </dataValidations>
  <printOptions horizontalCentered="1" verticalCentered="1"/>
  <pageMargins left="0.7" right="0.7" top="0.5" bottom="0.5" header="0" footer="0"/>
  <pageSetup fitToHeight="1" fitToWidth="1" orientation="landscape" paperSize="9" scale="5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Jeffrey Schimmel</dc:creator>
  <cp:keywords/>
  <dc:description/>
  <cp:lastModifiedBy>Gina</cp:lastModifiedBy>
  <cp:lastPrinted>2010-04-01T20:17:15Z</cp:lastPrinted>
  <dcterms:created xsi:type="dcterms:W3CDTF">2010-02-01T20:01:26Z</dcterms:created>
  <dcterms:modified xsi:type="dcterms:W3CDTF">2010-04-02T13:51:03Z</dcterms:modified>
  <cp:category/>
  <cp:version/>
  <cp:contentType/>
  <cp:contentStatus/>
</cp:coreProperties>
</file>